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41B691C6-6A33-4F0E-BBD0-991DE5BB1A53}" xr6:coauthVersionLast="47" xr6:coauthVersionMax="47" xr10:uidLastSave="{00000000-0000-0000-0000-000000000000}"/>
  <bookViews>
    <workbookView xWindow="28680" yWindow="-120" windowWidth="29040" windowHeight="15720" tabRatio="793" activeTab="18" xr2:uid="{00000000-000D-0000-FFFF-FFFF00000000}"/>
  </bookViews>
  <sheets>
    <sheet name="封面-移交" sheetId="22" r:id="rId1"/>
    <sheet name="勾稽" sheetId="15" state="hidden" r:id="rId2"/>
    <sheet name="簡簽" sheetId="26" r:id="rId3"/>
    <sheet name="預算" sheetId="28" r:id="rId4"/>
    <sheet name="代收款" sheetId="27" r:id="rId5"/>
    <sheet name="勾稽 (2)" sheetId="25" r:id="rId6"/>
    <sheet name="封面" sheetId="14" r:id="rId7"/>
    <sheet name="餘絀表" sheetId="3" r:id="rId8"/>
    <sheet name="平衡" sheetId="1" r:id="rId9"/>
    <sheet name="主要業務" sheetId="5" r:id="rId10"/>
    <sheet name="資產" sheetId="21" r:id="rId11"/>
    <sheet name="固定" sheetId="8" r:id="rId12"/>
    <sheet name="各項費用" sheetId="9" r:id="rId13"/>
    <sheet name="落後原因" sheetId="10" r:id="rId14"/>
    <sheet name="收支" sheetId="23" r:id="rId15"/>
    <sheet name="對照表" sheetId="24" r:id="rId16"/>
    <sheet name="庫款差額" sheetId="11" r:id="rId17"/>
    <sheet name="縣庫對帳" sheetId="12" r:id="rId18"/>
    <sheet name="專戶差額" sheetId="16" r:id="rId19"/>
    <sheet name="專戶對帳" sheetId="18" r:id="rId20"/>
    <sheet name="固定項目" sheetId="7" r:id="rId21"/>
    <sheet name="保管品" sheetId="17" r:id="rId22"/>
    <sheet name="對帳通知單" sheetId="13" r:id="rId23"/>
  </sheets>
  <externalReferences>
    <externalReference r:id="rId24"/>
    <externalReference r:id="rId25"/>
    <externalReference r:id="rId26"/>
    <externalReference r:id="rId27"/>
  </externalReferences>
  <definedNames>
    <definedName name="_xlnm.Print_Area" localSheetId="9">主要業務!$A$1:$L$24</definedName>
    <definedName name="_xlnm.Print_Area" localSheetId="8">平衡!$A$1:$U$92</definedName>
    <definedName name="_xlnm.Print_Area" localSheetId="12">各項費用!$A$1:$W$86</definedName>
    <definedName name="_xlnm.Print_Area" localSheetId="14">收支!$A$1:$N$45</definedName>
    <definedName name="_xlnm.Print_Area" localSheetId="11">固定!$A$1:$P$42</definedName>
    <definedName name="_xlnm.Print_Area" localSheetId="20">固定項目!$A$1:$I$43</definedName>
    <definedName name="_xlnm.Print_Area" localSheetId="6">封面!$A$1:$N$17</definedName>
    <definedName name="_xlnm.Print_Area" localSheetId="0">'封面-移交'!$A$1:$N$18</definedName>
    <definedName name="_xlnm.Print_Area" localSheetId="16">庫款差額!$A$1:$C$24</definedName>
    <definedName name="_xlnm.Print_Area" localSheetId="18">專戶差額!$A$1:$L$47</definedName>
    <definedName name="_xlnm.Print_Area" localSheetId="13">落後原因!$A$1:$P$31</definedName>
    <definedName name="_xlnm.Print_Area" localSheetId="10">資產!$A$1:$G$41</definedName>
    <definedName name="_xlnm.Print_Area" localSheetId="22">對帳通知單!$A$1:$R$20</definedName>
    <definedName name="_xlnm.Print_Area" localSheetId="15">對照表!$A$1:$I$35</definedName>
    <definedName name="_xlnm.Print_Area" localSheetId="7">餘絀表!$A$1:$AD$50</definedName>
    <definedName name="_xlnm.Print_Area" localSheetId="17">縣庫對帳!$B$1:$L$29</definedName>
    <definedName name="_xlnm.Print_Titles" localSheetId="12">各項費用!$2:$10</definedName>
    <definedName name="_xlnm.Print_Titles" localSheetId="16">庫款差額!$1:$5</definedName>
    <definedName name="_xlnm.Print_Titles" localSheetId="17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Y182" i="27" l="1"/>
  <c r="AH104" i="28" l="1"/>
  <c r="AG104" i="28"/>
  <c r="AF104" i="28"/>
  <c r="AE104" i="28"/>
  <c r="AD104" i="28"/>
  <c r="AC104" i="28"/>
  <c r="AB104" i="28"/>
  <c r="AA104" i="28"/>
  <c r="Y104" i="28"/>
  <c r="X104" i="28"/>
  <c r="W104" i="28"/>
  <c r="S104" i="28"/>
  <c r="AI104" i="28" s="1"/>
  <c r="S37" i="28"/>
  <c r="S38" i="28"/>
  <c r="S39" i="28"/>
  <c r="S40" i="28"/>
  <c r="S41" i="28"/>
  <c r="S42" i="28"/>
  <c r="S43" i="28"/>
  <c r="S44" i="28"/>
  <c r="S45" i="28"/>
  <c r="S46" i="28"/>
  <c r="S47" i="28"/>
  <c r="S48" i="28"/>
  <c r="S49" i="28"/>
  <c r="S50" i="28"/>
  <c r="S51" i="28"/>
  <c r="S52" i="28"/>
  <c r="S53" i="28"/>
  <c r="S54" i="28"/>
  <c r="S55" i="28"/>
  <c r="S56" i="28"/>
  <c r="S57" i="28"/>
  <c r="S58" i="28"/>
  <c r="S59" i="28"/>
  <c r="S60" i="28"/>
  <c r="S61" i="28"/>
  <c r="S62" i="28"/>
  <c r="S63" i="28"/>
  <c r="S64" i="28"/>
  <c r="S65" i="28"/>
  <c r="S66" i="28"/>
  <c r="S67" i="28"/>
  <c r="S68" i="28"/>
  <c r="S69" i="28"/>
  <c r="S70" i="28"/>
  <c r="S71" i="28"/>
  <c r="S72" i="28"/>
  <c r="S73" i="28"/>
  <c r="S74" i="28"/>
  <c r="S75" i="28"/>
  <c r="S76" i="28"/>
  <c r="S77" i="28"/>
  <c r="S78" i="28"/>
  <c r="S79" i="28"/>
  <c r="S80" i="28"/>
  <c r="S81" i="28"/>
  <c r="S82" i="28"/>
  <c r="S83" i="28"/>
  <c r="S84" i="28"/>
  <c r="S85" i="28"/>
  <c r="S86" i="28"/>
  <c r="S87" i="28"/>
  <c r="S88" i="28"/>
  <c r="S89" i="28"/>
  <c r="S90" i="28"/>
  <c r="S91" i="28"/>
  <c r="S92" i="28"/>
  <c r="S93" i="28"/>
  <c r="S94" i="28"/>
  <c r="S95" i="28"/>
  <c r="S96" i="28"/>
  <c r="S97" i="28"/>
  <c r="S98" i="28"/>
  <c r="S99" i="28"/>
  <c r="S100" i="28"/>
  <c r="S36" i="28"/>
  <c r="D30" i="25"/>
  <c r="D29" i="25"/>
  <c r="D28" i="25"/>
  <c r="D26" i="25"/>
  <c r="D25" i="25"/>
  <c r="Y35" i="27"/>
  <c r="Y33" i="27"/>
  <c r="Y31" i="27"/>
  <c r="Y27" i="27"/>
  <c r="J22" i="25"/>
  <c r="H22" i="25" s="1"/>
  <c r="J21" i="25"/>
  <c r="H21" i="25" s="1"/>
  <c r="J20" i="25"/>
  <c r="H20" i="25" s="1"/>
  <c r="I34" i="23"/>
  <c r="N34" i="23" s="1"/>
  <c r="N42" i="23"/>
  <c r="N41" i="23"/>
  <c r="N38" i="23"/>
  <c r="N36" i="23"/>
  <c r="N35" i="23"/>
  <c r="N33" i="23"/>
  <c r="N32" i="23"/>
  <c r="N31" i="23"/>
  <c r="N29" i="23"/>
  <c r="N26" i="23"/>
  <c r="N25" i="23"/>
  <c r="N24" i="23"/>
  <c r="N23" i="23"/>
  <c r="N21" i="23"/>
  <c r="N20" i="23"/>
  <c r="N19" i="23"/>
  <c r="N18" i="23"/>
  <c r="N16" i="23"/>
  <c r="N15" i="23"/>
  <c r="F31" i="8"/>
  <c r="T51" i="3"/>
  <c r="H37" i="21"/>
  <c r="I38" i="21"/>
  <c r="I39" i="21"/>
  <c r="I40" i="21"/>
  <c r="I41" i="21"/>
  <c r="D6" i="25"/>
  <c r="P8" i="12"/>
  <c r="D32" i="24"/>
  <c r="P7" i="12"/>
  <c r="E7" i="25"/>
  <c r="E6" i="25"/>
  <c r="N40" i="23" l="1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1" i="8"/>
  <c r="N31" i="8" s="1"/>
  <c r="M32" i="8"/>
  <c r="N32" i="8" s="1"/>
  <c r="M33" i="8"/>
  <c r="N33" i="8"/>
  <c r="M34" i="8"/>
  <c r="N34" i="8" s="1"/>
  <c r="M35" i="8"/>
  <c r="N35" i="8" s="1"/>
  <c r="M36" i="8"/>
  <c r="N36" i="8" s="1"/>
  <c r="M39" i="8"/>
  <c r="N39" i="8" s="1"/>
  <c r="M40" i="8"/>
  <c r="N40" i="8" s="1"/>
  <c r="M21" i="8"/>
  <c r="N21" i="8" s="1"/>
  <c r="L33" i="8"/>
  <c r="L34" i="8"/>
  <c r="L35" i="8"/>
  <c r="L36" i="8"/>
  <c r="L39" i="8"/>
  <c r="L40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G19" i="21"/>
  <c r="I19" i="21" s="1"/>
  <c r="G20" i="21"/>
  <c r="I20" i="21" s="1"/>
  <c r="G21" i="21"/>
  <c r="I21" i="21" s="1"/>
  <c r="G22" i="21"/>
  <c r="I22" i="21" s="1"/>
  <c r="G23" i="21"/>
  <c r="I23" i="21" s="1"/>
  <c r="G24" i="21"/>
  <c r="I24" i="21" s="1"/>
  <c r="G25" i="21"/>
  <c r="I25" i="21" s="1"/>
  <c r="G26" i="21"/>
  <c r="I26" i="21" s="1"/>
  <c r="G27" i="21"/>
  <c r="I27" i="21" s="1"/>
  <c r="G28" i="21"/>
  <c r="I28" i="21" s="1"/>
  <c r="G29" i="21"/>
  <c r="I29" i="21" s="1"/>
  <c r="G30" i="21"/>
  <c r="I30" i="21" s="1"/>
  <c r="G31" i="21"/>
  <c r="I31" i="21" s="1"/>
  <c r="G32" i="21"/>
  <c r="I32" i="21" s="1"/>
  <c r="G33" i="21"/>
  <c r="I33" i="21" s="1"/>
  <c r="G34" i="21"/>
  <c r="I34" i="21" s="1"/>
  <c r="G35" i="21"/>
  <c r="I35" i="21" s="1"/>
  <c r="G36" i="21"/>
  <c r="I36" i="21" s="1"/>
  <c r="G37" i="21"/>
  <c r="I37" i="21" s="1"/>
  <c r="G38" i="21"/>
  <c r="G39" i="21"/>
  <c r="G40" i="21"/>
  <c r="G41" i="21"/>
  <c r="C2" i="3" l="1"/>
  <c r="F26" i="25" l="1"/>
  <c r="F28" i="25"/>
  <c r="F29" i="25"/>
  <c r="AH31" i="3" l="1"/>
  <c r="D7" i="25" l="1"/>
  <c r="AH32" i="3" l="1"/>
  <c r="AH29" i="3"/>
  <c r="E32" i="24" l="1"/>
  <c r="O9" i="14" l="1"/>
  <c r="O10" i="14" s="1"/>
  <c r="G17" i="21"/>
  <c r="I17" i="21" s="1"/>
  <c r="G18" i="21"/>
  <c r="I18" i="21" s="1"/>
  <c r="G16" i="21"/>
  <c r="I16" i="21" s="1"/>
  <c r="K44" i="16" l="1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N17" i="23" s="1"/>
  <c r="I37" i="23" l="1"/>
  <c r="N37" i="23" s="1"/>
  <c r="I32" i="23"/>
  <c r="I30" i="23"/>
  <c r="N30" i="23" s="1"/>
  <c r="I28" i="23"/>
  <c r="N28" i="23" s="1"/>
  <c r="I22" i="23"/>
  <c r="N22" i="23" s="1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I14" i="21" s="1"/>
  <c r="G15" i="21"/>
  <c r="I15" i="21" s="1"/>
  <c r="G12" i="21"/>
  <c r="F11" i="15"/>
  <c r="D11" i="15"/>
  <c r="E13" i="15"/>
  <c r="F27" i="25" l="1"/>
  <c r="D27" i="25" s="1"/>
  <c r="E29" i="24"/>
  <c r="I39" i="23"/>
  <c r="N39" i="23" s="1"/>
  <c r="J29" i="24"/>
  <c r="E15" i="15"/>
  <c r="E20" i="15"/>
  <c r="E21" i="15"/>
  <c r="G11" i="15"/>
  <c r="E13" i="25" l="1"/>
  <c r="G13" i="25" s="1"/>
  <c r="D13" i="25" s="1"/>
  <c r="F12" i="15"/>
  <c r="F12" i="25"/>
  <c r="L8" i="16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L38" i="8" l="1"/>
  <c r="M38" i="8"/>
  <c r="N38" i="8" s="1"/>
  <c r="K34" i="8"/>
  <c r="K37" i="8"/>
  <c r="L37" i="8" s="1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D23" i="15"/>
  <c r="M41" i="8" l="1"/>
  <c r="N41" i="8" s="1"/>
  <c r="M37" i="8"/>
  <c r="N37" i="8" s="1"/>
  <c r="K41" i="8"/>
  <c r="L41" i="8" s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39" i="16" l="1"/>
  <c r="M10" i="16"/>
  <c r="G43" i="16"/>
  <c r="M14" i="16"/>
  <c r="H43" i="16"/>
  <c r="H49" i="16" s="1"/>
  <c r="L43" i="16"/>
  <c r="L49" i="16" s="1"/>
  <c r="M35" i="16"/>
  <c r="A16" i="11"/>
  <c r="G49" i="16" l="1"/>
  <c r="G26" i="25"/>
  <c r="F10" i="21"/>
  <c r="D21" i="25" s="1"/>
  <c r="D22" i="25" s="1"/>
  <c r="E10" i="21"/>
  <c r="D10" i="21"/>
  <c r="C10" i="21"/>
  <c r="B10" i="21"/>
  <c r="I26" i="25" l="1"/>
  <c r="I27" i="25" s="1"/>
  <c r="H26" i="25"/>
  <c r="H27" i="25" s="1"/>
  <c r="D21" i="15"/>
  <c r="G10" i="21"/>
  <c r="G42" i="21" s="1"/>
  <c r="I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H10" i="25" s="1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43" i="16" l="1"/>
  <c r="M43" i="16" s="1"/>
  <c r="G7" i="16"/>
  <c r="M7" i="16" s="1"/>
  <c r="G45" i="16" l="1"/>
  <c r="M45" i="16" s="1"/>
  <c r="I49" i="16"/>
  <c r="N43" i="23" l="1"/>
  <c r="E15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8991A08A-F837-4E4C-8EAD-A63F4CB768AA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<sst xmlns="http://schemas.openxmlformats.org/spreadsheetml/2006/main" count="1239" uniqueCount="956">
  <si>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</si>
  <si>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</si>
  <si>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</si>
  <si>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</si>
  <si>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</si>
  <si>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</si>
  <si>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</si>
  <si>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</si>
  <si>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</si>
  <si>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</si>
  <si>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</si>
  <si>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</si>
  <si>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</si>
  <si>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</si>
  <si>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</si>
  <si>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</si>
  <si>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</si>
  <si>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</si>
  <si>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</si>
  <si>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</si>
  <si>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</si>
  <si>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</si>
  <si>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</si>
  <si>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</si>
  <si>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</si>
  <si>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</si>
  <si>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</si>
  <si>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</si>
  <si>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</si>
  <si>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</si>
  <si>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</si>
  <si>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</si>
  <si>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</si>
  <si>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</si>
  <si>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</si>
  <si>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</si>
  <si>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</si>
  <si>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</si>
  <si>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</si>
  <si>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</si>
  <si>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</si>
  <si>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</si>
  <si>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</si>
  <si>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</si>
  <si>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</si>
  <si>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</si>
  <si>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</si>
  <si>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</si>
  <si>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</si>
  <si>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</si>
  <si>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</si>
  <si>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</si>
  <si>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</si>
  <si>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</si>
  <si>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</si>
  <si>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</si>
  <si>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</si>
  <si>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</si>
  <si>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</si>
  <si>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</si>
  <si>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</si>
  <si>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</si>
  <si>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</si>
  <si>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</si>
  <si>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</si>
  <si>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</si>
  <si>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</si>
  <si>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</si>
  <si>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</si>
  <si>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</si>
  <si>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</si>
  <si>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</si>
  <si>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</si>
  <si>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</si>
  <si>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</si>
  <si>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</si>
  <si>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</si>
  <si>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</si>
  <si>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</si>
  <si>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</si>
  <si>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</si>
  <si>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</si>
  <si>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</si>
  <si>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</si>
  <si>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</si>
  <si>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</si>
  <si>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</si>
  <si>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</si>
  <si>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</si>
  <si>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</si>
  <si>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</si>
  <si>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</si>
  <si>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</si>
  <si>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</si>
  <si>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</si>
  <si>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</si>
  <si>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</si>
  <si>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</si>
  <si>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</si>
  <si>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</si>
  <si>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</si>
  <si>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</si>
  <si>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</si>
  <si>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</si>
  <si>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</si>
  <si>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</si>
  <si>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</si>
  <si>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</si>
  <si>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</si>
  <si>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</si>
  <si>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</si>
  <si>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</si>
  <si>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</si>
  <si>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</si>
  <si>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</si>
  <si>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</si>
  <si>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</si>
  <si>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</si>
  <si>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</si>
  <si>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</si>
  <si>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</si>
  <si>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</si>
  <si>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</si>
  <si>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</si>
  <si>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</si>
  <si>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</si>
  <si>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</si>
  <si>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</si>
  <si>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</si>
  <si>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</si>
  <si>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</si>
  <si>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</si>
  <si>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</si>
  <si>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</si>
  <si>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</si>
  <si>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</si>
  <si>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</si>
  <si>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</si>
  <si>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</si>
  <si>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</si>
  <si>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</si>
  <si>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</si>
  <si>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</si>
  <si>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</si>
  <si>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</si>
  <si>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</si>
  <si>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</si>
  <si>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</si>
  <si>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</si>
  <si>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</si>
  <si>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</si>
  <si>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</si>
  <si>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</si>
  <si>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</si>
  <si>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</si>
  <si>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</si>
  <si>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</si>
  <si>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</si>
  <si>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</si>
  <si>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</si>
  <si>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</si>
  <si>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</si>
  <si>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</si>
  <si>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</si>
  <si>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</si>
  <si>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</si>
  <si>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</si>
  <si>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</si>
  <si>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</si>
  <si>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</si>
  <si>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</si>
  <si>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</si>
  <si>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</si>
  <si>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</si>
  <si>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</si>
  <si>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</si>
  <si>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</si>
  <si>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</si>
  <si>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</si>
  <si>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</si>
  <si>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</si>
  <si>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</si>
  <si>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</si>
  <si>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</si>
  <si>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</si>
  <si>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</si>
  <si>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</si>
  <si>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</si>
  <si>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</si>
  <si>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</si>
  <si>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</si>
  <si>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</si>
  <si>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</si>
  <si>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</si>
  <si>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</si>
  <si>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</si>
  <si>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</si>
  <si>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</si>
  <si>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</si>
  <si>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</si>
  <si>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</si>
  <si>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</si>
  <si>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</si>
  <si>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</si>
  <si>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</si>
  <si>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</si>
  <si>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</si>
  <si>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</si>
  <si>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</si>
  <si>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</si>
  <si>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</si>
  <si>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</si>
  <si>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</si>
  <si>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</si>
  <si>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</si>
  <si>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</si>
  <si>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</si>
  <si>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</si>
  <si>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</si>
  <si>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</si>
  <si>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</si>
  <si>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</si>
  <si>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</si>
  <si>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</si>
  <si>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</si>
  <si>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</si>
  <si>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</si>
  <si>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</si>
  <si>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</si>
  <si>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</si>
  <si>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</si>
  <si>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</si>
  <si>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</si>
  <si>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</si>
  <si>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</si>
  <si>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</si>
  <si>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</si>
  <si>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</si>
  <si>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</si>
  <si>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</si>
  <si>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</si>
  <si>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</si>
  <si>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</si>
  <si>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</si>
  <si>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</si>
  <si>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</si>
  <si>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</si>
  <si>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</si>
  <si>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</si>
  <si>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</si>
  <si>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</si>
  <si>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</si>
  <si>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</si>
  <si>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</si>
  <si>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</si>
  <si>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</si>
  <si>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</si>
  <si>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</si>
  <si>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</si>
  <si>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</si>
  <si>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</si>
  <si>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</si>
  <si>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</si>
  <si>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</si>
  <si>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</si>
  <si>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</si>
  <si>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</si>
  <si>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</si>
  <si>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</si>
  <si>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</si>
  <si>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</si>
  <si>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</si>
  <si>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</si>
  <si>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</si>
  <si>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</si>
  <si>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</si>
  <si>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</si>
  <si>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</si>
  <si>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</si>
  <si>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</si>
  <si>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</si>
  <si>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</si>
  <si>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</si>
  <si>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</si>
  <si>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</si>
  <si>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</si>
  <si>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</si>
  <si>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</si>
  <si>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</si>
  <si>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</si>
  <si>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</si>
  <si>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</si>
  <si>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</si>
  <si>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</si>
  <si>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</si>
  <si>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</si>
  <si>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</si>
  <si>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</si>
  <si>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</si>
  <si>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</si>
  <si>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</si>
  <si>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</si>
  <si>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</si>
  <si>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</si>
  <si>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</si>
  <si>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</si>
  <si>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</si>
  <si>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</si>
  <si>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</si>
  <si>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</si>
  <si>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</si>
  <si>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</si>
  <si>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</si>
  <si>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</si>
  <si>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</si>
  <si>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</si>
  <si>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</si>
  <si>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</si>
  <si>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</si>
  <si>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</si>
  <si>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</si>
  <si>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</si>
  <si>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</si>
  <si>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</si>
  <si>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</si>
  <si>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</si>
  <si>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</si>
  <si>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</si>
  <si>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</si>
  <si>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</si>
  <si>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</si>
  <si>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</si>
  <si>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</si>
  <si>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</si>
  <si>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</si>
  <si>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</si>
  <si>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</si>
  <si>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</si>
  <si>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</si>
  <si>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</si>
  <si>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</si>
  <si>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</si>
  <si>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</si>
  <si>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</si>
  <si>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</si>
  <si>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</si>
  <si>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</si>
  <si>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</si>
  <si>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</si>
  <si>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</si>
  <si>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</si>
  <si>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</si>
  <si>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</si>
  <si>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</si>
  <si>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</si>
  <si>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</si>
  <si>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</si>
  <si>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</si>
  <si>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</si>
  <si>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</si>
  <si>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</si>
  <si>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</si>
  <si>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</si>
  <si>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</si>
  <si>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</si>
  <si>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</si>
  <si>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</si>
  <si>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</si>
  <si>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</si>
  <si>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</si>
  <si>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</si>
  <si>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</si>
  <si>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</si>
  <si>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</si>
  <si>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</si>
  <si>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</si>
  <si>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</si>
  <si>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</si>
  <si>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</si>
  <si>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</si>
  <si>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</si>
  <si>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</si>
  <si>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</si>
  <si>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</si>
  <si>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</si>
  <si>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</si>
  <si>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</si>
  <si>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</si>
  <si>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</si>
  <si>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</si>
  <si>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</si>
  <si>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</si>
  <si>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</si>
  <si>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</si>
  <si>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</si>
  <si>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</si>
  <si>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</si>
  <si>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</si>
  <si>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</si>
  <si>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</si>
  <si>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</si>
  <si>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</si>
  <si>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</si>
  <si>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</si>
  <si>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</si>
  <si>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</si>
  <si>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</si>
  <si>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</si>
  <si>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</si>
  <si>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</si>
  <si>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</si>
  <si>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</si>
  <si>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</si>
  <si>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</si>
  <si>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</si>
  <si>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</si>
  <si>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</si>
  <si>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</si>
  <si>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</si>
  <si>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</si>
  <si>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</si>
  <si>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</si>
  <si>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</si>
  <si>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</si>
  <si>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</si>
  <si>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</si>
  <si>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</si>
  <si>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</si>
  <si>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</si>
  <si>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</si>
  <si>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</si>
  <si>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</si>
  <si>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</si>
  <si>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</si>
  <si>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</si>
  <si>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</si>
  <si>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</si>
  <si>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</si>
  <si>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</si>
  <si>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</si>
  <si>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</si>
  <si>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</si>
  <si>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</si>
  <si>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</si>
  <si>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</si>
  <si>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</si>
  <si>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</si>
  <si>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</si>
  <si>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</si>
  <si>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</si>
  <si>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</si>
  <si>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</si>
  <si>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</si>
  <si>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</si>
  <si>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</si>
  <si>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</si>
  <si>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</si>
  <si>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</si>
  <si>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</si>
  <si>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</si>
  <si>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</si>
  <si>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</si>
  <si>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</si>
  <si>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</si>
  <si>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</si>
  <si>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</si>
  <si>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</si>
  <si>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</si>
  <si>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</si>
  <si>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</si>
  <si>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</si>
  <si>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</si>
  <si>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因預期外的一般捐贈所致。</t>
    <phoneticPr fontId="10" type="noConversion"/>
  </si>
  <si>
    <t>4YO</t>
    <phoneticPr fontId="10" type="noConversion"/>
  </si>
  <si>
    <t>差異未超過20%</t>
  </si>
  <si>
    <t>差異超過20%，原因及改進意見：</t>
  </si>
  <si>
    <t>1.其他設備：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</si>
  <si>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</si>
  <si>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</si>
  <si>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</si>
  <si>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三、</t>
    <phoneticPr fontId="10" type="noConversion"/>
  </si>
  <si>
    <t>各帳戶對帳單餘額經核無誤，回單用印後送還臺灣銀行彰化分行，餘陳閱後存查。</t>
    <phoneticPr fontId="10" type="noConversion"/>
  </si>
  <si>
    <t>已至網銀列印當月明細表並核對餘額正確，併入當月會計報告。</t>
    <phoneticPr fontId="10" type="noConversion"/>
  </si>
  <si>
    <t>場地設施使用費收入超過預期。</t>
    <phoneticPr fontId="10" type="noConversion"/>
  </si>
  <si>
    <t>預期外的未指定用途捐款。</t>
    <phoneticPr fontId="10" type="noConversion"/>
  </si>
  <si>
    <t>(六)</t>
    <phoneticPr fontId="10" type="noConversion"/>
  </si>
  <si>
    <t>資源回收收入不如預期。</t>
    <phoneticPr fontId="10" type="noConversion"/>
  </si>
  <si>
    <t>報廢財物經惜物網拍賣分配之收入不如預期。</t>
    <phoneticPr fontId="10" type="noConversion"/>
  </si>
  <si>
    <t>會計帳-財產帳
金額差異</t>
    <phoneticPr fontId="10" type="noConversion"/>
  </si>
  <si>
    <t>財產帳報表
穎逸</t>
    <phoneticPr fontId="10" type="noConversion"/>
  </si>
  <si>
    <t>本月</t>
    <phoneticPr fontId="10" type="noConversion"/>
  </si>
  <si>
    <t>上月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</si>
  <si>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</si>
  <si>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</si>
  <si>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</si>
  <si>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</si>
  <si>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</si>
  <si>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</si>
  <si>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</si>
  <si>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</si>
  <si>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</si>
  <si>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</si>
  <si>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</si>
  <si>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</si>
  <si>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</si>
  <si>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</si>
  <si>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</si>
  <si>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</si>
  <si>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</si>
  <si>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</si>
  <si>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</si>
  <si>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</si>
  <si>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</si>
  <si>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</si>
  <si>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</si>
  <si>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</si>
  <si>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</si>
  <si>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</si>
  <si>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</si>
  <si>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</si>
  <si>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</si>
  <si>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</si>
  <si>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</si>
  <si>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</si>
  <si>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</si>
  <si>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</si>
  <si>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</si>
  <si>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</si>
  <si>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</si>
  <si>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</si>
  <si>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</si>
  <si>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</si>
  <si>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</si>
  <si>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</si>
  <si>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</si>
  <si>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</si>
  <si>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</si>
  <si>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</si>
  <si>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</si>
  <si>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</si>
  <si>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</si>
  <si>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</si>
  <si>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</si>
  <si>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</si>
  <si>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</si>
  <si>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</si>
  <si>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</si>
  <si>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</si>
  <si>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</si>
  <si>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</si>
  <si>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</si>
  <si>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</si>
  <si>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</si>
  <si>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</si>
  <si>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</si>
  <si>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</si>
  <si>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28</t>
  </si>
  <si>
    <t>什項負債</t>
  </si>
  <si>
    <t>2801</t>
  </si>
  <si>
    <t>存入保證金</t>
  </si>
  <si>
    <t>280104</t>
  </si>
  <si>
    <t>應付退休及離職金</t>
  </si>
  <si>
    <t>280106</t>
  </si>
  <si>
    <t>淨資產</t>
  </si>
  <si>
    <t>3</t>
  </si>
  <si>
    <t>31</t>
  </si>
  <si>
    <t>3101</t>
  </si>
  <si>
    <t>累積餘額</t>
  </si>
  <si>
    <t>310101</t>
  </si>
  <si>
    <t>本期短絀</t>
  </si>
  <si>
    <t>310103</t>
  </si>
  <si>
    <t>淨資產調整數</t>
  </si>
  <si>
    <t>310104</t>
  </si>
  <si>
    <t>用人費用</t>
  </si>
  <si>
    <t>-14.86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</si>
  <si>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</si>
  <si>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</si>
  <si>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</si>
  <si>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</si>
  <si>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</si>
  <si>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</si>
  <si>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</si>
  <si>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</si>
  <si>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</si>
  <si>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</si>
  <si>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</si>
  <si>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</si>
  <si>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</si>
  <si>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</si>
  <si>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</si>
  <si>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</si>
  <si>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</si>
  <si>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</si>
  <si>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</si>
  <si>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</si>
  <si>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</si>
  <si>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</si>
  <si>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</si>
  <si>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</si>
  <si>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</si>
  <si>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</si>
  <si>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</si>
  <si>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</si>
  <si>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</si>
  <si>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</si>
  <si>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</si>
  <si>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</si>
  <si>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</si>
  <si>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</si>
  <si>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</si>
  <si>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</si>
  <si>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</si>
  <si>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</si>
  <si>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</si>
  <si>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</si>
  <si>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</si>
  <si>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</si>
  <si>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</si>
  <si>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</si>
  <si>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</si>
  <si>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</si>
  <si>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</si>
  <si>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</si>
  <si>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</si>
  <si>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</si>
  <si>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</si>
  <si>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</si>
  <si>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</si>
  <si>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</si>
  <si>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</si>
  <si>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</si>
  <si>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</si>
  <si>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</si>
  <si>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</si>
  <si>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</si>
  <si>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</si>
  <si>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</si>
  <si>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</si>
  <si>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</si>
  <si>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</si>
  <si>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</si>
  <si>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</si>
  <si>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</si>
  <si>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</si>
  <si>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</si>
  <si>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</si>
  <si>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</si>
  <si>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</si>
  <si>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</si>
  <si>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</si>
  <si>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</si>
  <si>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</si>
  <si>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</si>
  <si>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</si>
  <si>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</si>
  <si>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</si>
  <si>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</si>
  <si>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-43.21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</si>
  <si>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</si>
  <si>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</si>
  <si>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</si>
  <si>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</si>
  <si>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</si>
  <si>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</si>
  <si>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</si>
  <si>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</si>
  <si>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</si>
  <si>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</si>
  <si>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</si>
  <si>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</si>
  <si>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</si>
  <si>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</si>
  <si>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-50.59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</si>
  <si>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</si>
  <si>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</si>
  <si>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</si>
  <si>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</si>
  <si>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</si>
  <si>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-35.88</t>
  </si>
  <si>
    <t>51</t>
  </si>
  <si>
    <t>購建固定資產</t>
  </si>
  <si>
    <t>514</t>
  </si>
  <si>
    <t>購置機械及設備</t>
  </si>
  <si>
    <t>-100.00</t>
  </si>
  <si>
    <t>516</t>
  </si>
  <si>
    <t>購置雜項設備</t>
  </si>
  <si>
    <t>28.25</t>
  </si>
  <si>
    <t>7</t>
  </si>
  <si>
    <t>會費、捐助、補助、分攤、照護、救濟與交流活動費</t>
  </si>
  <si>
    <t>-56.82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</si>
  <si>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</si>
  <si>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</si>
  <si>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</si>
  <si>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</si>
  <si>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</si>
  <si>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</si>
  <si>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</si>
  <si>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</si>
  <si>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</si>
  <si>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</si>
  <si>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</si>
  <si>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</si>
  <si>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</si>
  <si>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-60.64</t>
  </si>
  <si>
    <t>91</t>
  </si>
  <si>
    <t>其他支出</t>
  </si>
  <si>
    <t>91Y</t>
  </si>
  <si>
    <t>合       計</t>
  </si>
  <si>
    <t>-15.41</t>
  </si>
  <si>
    <t>11453012280030100</t>
  </si>
  <si>
    <t>地方教育發展基金</t>
  </si>
  <si>
    <t>上期結餘</t>
  </si>
  <si>
    <t>114/09/03</t>
  </si>
  <si>
    <t>支付數</t>
  </si>
  <si>
    <t>114/09/05</t>
  </si>
  <si>
    <t>00127</t>
  </si>
  <si>
    <t>0901487</t>
  </si>
  <si>
    <t>114/09/08</t>
  </si>
  <si>
    <t>00128</t>
  </si>
  <si>
    <t>0901826</t>
  </si>
  <si>
    <t>00129</t>
  </si>
  <si>
    <t>0901827</t>
  </si>
  <si>
    <t>00130</t>
  </si>
  <si>
    <t>0901828</t>
  </si>
  <si>
    <t>00131</t>
  </si>
  <si>
    <t>0901829</t>
  </si>
  <si>
    <t>00132</t>
  </si>
  <si>
    <t>0901830</t>
  </si>
  <si>
    <t>114/09/11</t>
  </si>
  <si>
    <t>00133</t>
  </si>
  <si>
    <t>0903007</t>
  </si>
  <si>
    <t>114/09/18</t>
  </si>
  <si>
    <t>0904188</t>
  </si>
  <si>
    <t>114/09/22</t>
  </si>
  <si>
    <t>0904946</t>
  </si>
  <si>
    <t>114/09/23</t>
  </si>
  <si>
    <t>0905207</t>
  </si>
  <si>
    <t>114/09/25</t>
  </si>
  <si>
    <t>0900286</t>
  </si>
  <si>
    <t>支出收回</t>
  </si>
  <si>
    <t>0906025</t>
  </si>
  <si>
    <t>114/09/26</t>
  </si>
  <si>
    <t>0906536</t>
  </si>
  <si>
    <t>114/09/30</t>
  </si>
  <si>
    <t>0905316</t>
  </si>
  <si>
    <t>0905318</t>
  </si>
  <si>
    <t>小計</t>
  </si>
  <si>
    <t>總和 :</t>
  </si>
  <si>
    <t>Z11403  存入保證金-保固金-敬業樓1F廁所整修工程-台暘營造(有)1160527</t>
  </si>
  <si>
    <t>Z11402  存入保證金-保固金-英語國際村計畫-熱點影像科技(有)1150526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</si>
  <si>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</si>
  <si>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</si>
  <si>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</si>
  <si>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</si>
  <si>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</si>
  <si>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</si>
  <si>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</si>
  <si>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</si>
  <si>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</si>
  <si>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</si>
  <si>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</si>
  <si>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</si>
  <si>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</si>
  <si>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</si>
  <si>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</si>
  <si>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</si>
  <si>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</si>
  <si>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</si>
  <si>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</si>
  <si>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</si>
  <si>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</si>
  <si>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</si>
  <si>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</si>
  <si>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</si>
  <si>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</si>
  <si>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Y11401  存入保證金-履約保證金--m11402英語國際村計畫-熱點影像科技(有)</t>
  </si>
  <si>
    <t>P00002  應付代收款-其他項目-教職員午餐費</t>
  </si>
  <si>
    <t>P00001  應付代收款-其他項目-其他</t>
  </si>
  <si>
    <t>NA0008  應付代收款-繳庫項目-拾金不昧</t>
  </si>
  <si>
    <t>NA0007  應付代收款-繳庫項目-一般捐贈</t>
  </si>
  <si>
    <t>NA0006  應付代收款-繳庫項目-財產報廢收入</t>
  </si>
  <si>
    <t>NA0005  應付代收款-繳庫項目-資源回收獎勵金</t>
  </si>
  <si>
    <t>NA0003  應付代收款-繳庫項目-招標文件費</t>
  </si>
  <si>
    <t>NA0002  應付代收款-繳庫項目-專戶利息</t>
  </si>
  <si>
    <t>NA0001  應付代收款-繳庫項目-場地設施使用費</t>
  </si>
  <si>
    <t>MB0007  應付代收款-指定用途捐款-師生活動費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</si>
  <si>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</si>
  <si>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</si>
  <si>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</si>
  <si>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</si>
  <si>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</si>
  <si>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</si>
  <si>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</si>
  <si>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</si>
  <si>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</si>
  <si>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</si>
  <si>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</si>
  <si>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</si>
  <si>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</si>
  <si>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</si>
  <si>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</si>
  <si>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</si>
  <si>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</si>
  <si>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</si>
  <si>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</si>
  <si>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</si>
  <si>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</si>
  <si>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</si>
  <si>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</si>
  <si>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</si>
  <si>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IE0000  應付代收款-各項補助經費-英資中心</t>
  </si>
  <si>
    <t>ID0008  應付代收款-各項補助經費-總務處-公立國中小學班班有冷氣電費及維護費經費</t>
  </si>
  <si>
    <t>ID0007  應付代收款-國有土地被占用之使用補償金</t>
  </si>
  <si>
    <t>ID0005  應付代收款-各項補助經費-總務處-教育部非營利幼兒園業務經費</t>
  </si>
  <si>
    <t>ID0001  應付代收款-各項補助經費-總務處各項工程</t>
  </si>
  <si>
    <t>ID0000  應付代收款-各項補助經費-總務處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</si>
  <si>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</si>
  <si>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</si>
  <si>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</si>
  <si>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</si>
  <si>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</si>
  <si>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</si>
  <si>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</si>
  <si>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</si>
  <si>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IA0005  應付代收款-各項補助經費-教務處-教專認證增能計畫預撥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</si>
  <si>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</si>
  <si>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</si>
  <si>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</si>
  <si>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</si>
  <si>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G00099  應付代收款-社團活動-社團行政費</t>
  </si>
  <si>
    <t>G00026  應付代收款-社團活動-節奏樂隊</t>
  </si>
  <si>
    <t>G00025  應付代收款-社團活動-街舞社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</si>
  <si>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</si>
  <si>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</si>
  <si>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</si>
  <si>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</si>
  <si>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</si>
  <si>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G00011  應付代收款-社團活動-兒童電腦程式設計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</si>
  <si>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</si>
  <si>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</si>
  <si>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</si>
  <si>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</si>
  <si>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</si>
  <si>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</si>
  <si>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</si>
  <si>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</si>
  <si>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</si>
  <si>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</si>
  <si>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</si>
  <si>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</si>
  <si>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</si>
  <si>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</si>
  <si>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</si>
  <si>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</si>
  <si>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</si>
  <si>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</si>
  <si>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</si>
  <si>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</si>
  <si>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</si>
  <si>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</si>
  <si>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</si>
  <si>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</si>
  <si>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</si>
  <si>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</si>
  <si>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</si>
  <si>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115Y08  其他預付款-增置特教中心教師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</si>
  <si>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</si>
  <si>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</si>
  <si>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</si>
  <si>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</si>
  <si>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</si>
  <si>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</si>
  <si>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</si>
  <si>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</si>
  <si>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</si>
  <si>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</si>
  <si>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</si>
  <si>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</si>
  <si>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</si>
  <si>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</si>
  <si>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</si>
  <si>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</si>
  <si>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中華民國114年1月1日至114年9月30日</t>
  </si>
  <si>
    <t>代收代辦經費收支餘額表</t>
  </si>
  <si>
    <t>彰化縣地方教育發展基金－彰化縣彰化市民生國民小學</t>
  </si>
  <si>
    <t>122-1</t>
  </si>
  <si>
    <t>預算執行餘額表</t>
  </si>
  <si>
    <t>預算數餘額(含已過帳)(F)=(A)-(C)</t>
  </si>
  <si>
    <t>預算數餘額(含扣除未過帳)
(G)=(F)-(D)</t>
  </si>
  <si>
    <t>預算數餘額(含已簽證尚未支付)(H)=(G)-(E)</t>
  </si>
  <si>
    <t>全年度預算數(A)</t>
  </si>
  <si>
    <t>截至本月止歲出分配數(B)</t>
  </si>
  <si>
    <t>簽證總數</t>
  </si>
  <si>
    <t>5 基金用途</t>
  </si>
  <si>
    <t>53 國民教育計畫</t>
  </si>
  <si>
    <t>532 國民小學教育</t>
  </si>
  <si>
    <t>113 職員薪金</t>
  </si>
  <si>
    <t>114 工員工資</t>
  </si>
  <si>
    <t>124 兼職人員酬金</t>
  </si>
  <si>
    <t>131 延長工時加班費</t>
  </si>
  <si>
    <t>134 未休假加班費</t>
  </si>
  <si>
    <t>151 考績獎金</t>
  </si>
  <si>
    <t>152 年終獎金</t>
  </si>
  <si>
    <t>161 職員退休及離職金</t>
  </si>
  <si>
    <t>181 分擔員工保險費</t>
  </si>
  <si>
    <t>18Y 其他福利費</t>
  </si>
  <si>
    <t>212 工作場所電費</t>
  </si>
  <si>
    <t>214 工作場所水費</t>
  </si>
  <si>
    <t>221 郵費</t>
  </si>
  <si>
    <t>222 電話費</t>
  </si>
  <si>
    <t>224 數據通信費</t>
  </si>
  <si>
    <t>231 國內旅費</t>
  </si>
  <si>
    <t>235 貨物運費</t>
  </si>
  <si>
    <t>241 印刷及裝訂費</t>
  </si>
  <si>
    <t>251 土地改良物修護費</t>
  </si>
  <si>
    <t>252 一般房屋修護費</t>
  </si>
  <si>
    <t>255 機械及設備修護費</t>
  </si>
  <si>
    <t>256 交通及運輸設備修護費</t>
  </si>
  <si>
    <t>257 雜項設備修護費</t>
  </si>
  <si>
    <t>276 佣金、匯費、經理費及手續費</t>
  </si>
  <si>
    <t>27D 計時與計件人員酬金</t>
  </si>
  <si>
    <t>27F 體育活動費</t>
  </si>
  <si>
    <t>285 講課鐘點、稿費、出席審查及查詢費</t>
  </si>
  <si>
    <t>287 委託檢驗(定)試驗認證費</t>
  </si>
  <si>
    <t>289 試務甄選費</t>
  </si>
  <si>
    <t>28A 電腦軟體服務費</t>
  </si>
  <si>
    <t>28Y 其他專業服務費</t>
  </si>
  <si>
    <t>291 公共關係費</t>
  </si>
  <si>
    <t>321 辦公（事務）用品</t>
  </si>
  <si>
    <t>322 報章雜誌</t>
  </si>
  <si>
    <t>323 農業與園藝用品及環境美化費</t>
  </si>
  <si>
    <t>328 醫療用品(非醫療院所使用)</t>
  </si>
  <si>
    <t>32Y 其他用品消耗</t>
  </si>
  <si>
    <t>451 雜項設備租金</t>
  </si>
  <si>
    <t>661 行政規費與強制費</t>
  </si>
  <si>
    <t>712 學術團體會費</t>
  </si>
  <si>
    <t>744 慰問、照護及濟助金</t>
  </si>
  <si>
    <t>751 技能競賽</t>
  </si>
  <si>
    <t>91Y 其他</t>
  </si>
  <si>
    <t>尚需經費</t>
    <phoneticPr fontId="10" type="noConversion"/>
  </si>
  <si>
    <r>
      <t>10-12</t>
    </r>
    <r>
      <rPr>
        <b/>
        <sz val="10"/>
        <color rgb="FFFF0000"/>
        <rFont val="新細明體"/>
        <family val="2"/>
        <charset val="136"/>
      </rPr>
      <t>月</t>
    </r>
    <r>
      <rPr>
        <b/>
        <sz val="10"/>
        <color rgb="FFFF0000"/>
        <rFont val="微軟正黑體"/>
        <family val="2"/>
        <charset val="136"/>
      </rPr>
      <t>尚需經費</t>
    </r>
    <phoneticPr fontId="10" type="noConversion"/>
  </si>
  <si>
    <r>
      <t>9</t>
    </r>
    <r>
      <rPr>
        <b/>
        <sz val="10"/>
        <color rgb="FFFF0000"/>
        <rFont val="細明體"/>
        <family val="2"/>
        <charset val="136"/>
      </rPr>
      <t>月底餘數</t>
    </r>
    <phoneticPr fontId="10" type="noConversion"/>
  </si>
  <si>
    <t>估計12月底餘絀數</t>
    <phoneticPr fontId="10" type="noConversion"/>
  </si>
  <si>
    <t>-27.32</t>
  </si>
  <si>
    <t/>
  </si>
  <si>
    <t>00126</t>
  </si>
  <si>
    <t>0900703</t>
  </si>
  <si>
    <t>00134</t>
  </si>
  <si>
    <t>00135</t>
  </si>
  <si>
    <t>00138</t>
  </si>
  <si>
    <t>00139</t>
  </si>
  <si>
    <t>00140</t>
  </si>
  <si>
    <t>13994640193724</t>
  </si>
  <si>
    <t>收入數</t>
  </si>
  <si>
    <t>00136</t>
  </si>
  <si>
    <t>00137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</si>
</sst>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26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sz val="12"/>
      <color rgb="FF000000"/>
      <name val="細明體"/>
      <family val="2"/>
      <charset val="136"/>
    </font>
    <font>
      <sz val="10"/>
      <color rgb="FF000000"/>
      <name val="細明體"/>
      <family val="2"/>
      <charset val="136"/>
    </font>
    <font>
      <sz val="10"/>
      <color theme="0"/>
      <name val="ARIAL"/>
      <family val="2"/>
    </font>
    <font>
      <b/>
      <sz val="10"/>
      <color rgb="FFFF0000"/>
      <name val="細明體"/>
      <family val="3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b/>
      <sz val="10"/>
      <color indexed="8"/>
      <name val="ARIAL"/>
      <family val="2"/>
    </font>
    <font>
      <b/>
      <sz val="9"/>
      <color rgb="FFFFC000"/>
      <name val="新細明體"/>
      <family val="1"/>
      <charset val="136"/>
    </font>
    <font>
      <b/>
      <sz val="10"/>
      <color rgb="FFFFC000"/>
      <name val="ARIAL"/>
      <family val="2"/>
    </font>
    <font>
      <b/>
      <sz val="16"/>
      <color indexed="8"/>
      <name val="ARIAL"/>
      <family val="2"/>
    </font>
    <font>
      <b/>
      <sz val="16"/>
      <color indexed="8"/>
      <name val="新細明體"/>
      <family val="1"/>
      <charset val="136"/>
    </font>
    <font>
      <b/>
      <sz val="10"/>
      <color rgb="FFFF0000"/>
      <name val="微軟正黑體"/>
      <family val="2"/>
      <charset val="136"/>
    </font>
    <font>
      <b/>
      <sz val="10"/>
      <color rgb="FFFF0000"/>
      <name val="新細明體"/>
      <family val="2"/>
      <charset val="136"/>
    </font>
    <font>
      <b/>
      <sz val="10"/>
      <color rgb="FFFF0000"/>
      <name val="細明體"/>
      <family val="2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94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0" fontId="110" fillId="0" borderId="0" xfId="0" applyFont="1">
      <alignment vertical="top"/>
    </xf>
    <xf numFmtId="0" fontId="7" fillId="0" borderId="0" xfId="0" applyFont="1" applyAlignment="1"/>
    <xf numFmtId="0" fontId="7" fillId="0" borderId="0" xfId="0" applyFont="1" applyAlignment="1"/>
    <xf numFmtId="177" fontId="0" fillId="9" borderId="7" xfId="7" applyNumberFormat="1" applyFont="1" applyFill="1" applyBorder="1" applyAlignment="1">
      <alignment vertical="top"/>
    </xf>
    <xf numFmtId="3" fontId="17" fillId="9" borderId="6" xfId="0" applyNumberFormat="1" applyFont="1" applyFill="1" applyBorder="1" applyAlignment="1">
      <alignment horizontal="right" vertical="top" wrapText="1"/>
    </xf>
    <xf numFmtId="3" fontId="17" fillId="9" borderId="0" xfId="0" applyNumberFormat="1" applyFont="1" applyFill="1" applyAlignment="1">
      <alignment horizontal="right" vertical="top" wrapText="1"/>
    </xf>
    <xf numFmtId="176" fontId="8" fillId="9" borderId="7" xfId="7" applyNumberFormat="1" applyFont="1" applyFill="1" applyBorder="1" applyAlignment="1">
      <alignment horizontal="right" vertical="top"/>
    </xf>
    <xf numFmtId="3" fontId="8" fillId="9" borderId="6" xfId="0" applyNumberFormat="1" applyFont="1" applyFill="1" applyBorder="1" applyAlignment="1">
      <alignment horizontal="right" vertical="top"/>
    </xf>
    <xf numFmtId="3" fontId="8" fillId="9" borderId="0" xfId="0" applyNumberFormat="1" applyFont="1" applyFill="1" applyAlignment="1">
      <alignment horizontal="right" vertical="top"/>
    </xf>
    <xf numFmtId="176" fontId="8" fillId="9" borderId="0" xfId="0" applyNumberFormat="1" applyFont="1" applyFill="1" applyAlignment="1">
      <alignment horizontal="right" vertical="top"/>
    </xf>
    <xf numFmtId="0" fontId="0" fillId="9" borderId="0" xfId="1" applyFont="1" applyFill="1">
      <alignment vertical="top"/>
    </xf>
    <xf numFmtId="0" fontId="0" fillId="9" borderId="6" xfId="0" applyFill="1" applyBorder="1">
      <alignment vertical="top"/>
    </xf>
    <xf numFmtId="0" fontId="8" fillId="9" borderId="0" xfId="0" applyFont="1" applyFill="1">
      <alignment vertical="top"/>
    </xf>
    <xf numFmtId="177" fontId="8" fillId="9" borderId="0" xfId="7" applyNumberFormat="1" applyFont="1" applyFill="1" applyBorder="1" applyAlignment="1">
      <alignment vertical="top"/>
    </xf>
    <xf numFmtId="177" fontId="8" fillId="9" borderId="7" xfId="7" applyNumberFormat="1" applyFont="1" applyFill="1" applyBorder="1" applyAlignment="1">
      <alignment vertical="top"/>
    </xf>
    <xf numFmtId="0" fontId="0" fillId="9" borderId="0" xfId="0" applyFill="1">
      <alignment vertical="top"/>
    </xf>
    <xf numFmtId="0" fontId="8" fillId="9" borderId="6" xfId="0" applyFont="1" applyFill="1" applyBorder="1">
      <alignment vertical="top"/>
    </xf>
    <xf numFmtId="176" fontId="8" fillId="9" borderId="0" xfId="0" applyNumberFormat="1" applyFont="1" applyFill="1">
      <alignment vertical="top"/>
    </xf>
    <xf numFmtId="0" fontId="8" fillId="9" borderId="0" xfId="0" applyFont="1" applyFill="1" applyAlignment="1">
      <alignment horizontal="left" vertical="top"/>
    </xf>
    <xf numFmtId="177" fontId="8" fillId="9" borderId="0" xfId="7" applyNumberFormat="1" applyFont="1" applyFill="1" applyBorder="1" applyAlignment="1">
      <alignment horizontal="left" vertical="top"/>
    </xf>
    <xf numFmtId="177" fontId="8" fillId="9" borderId="7" xfId="7" applyNumberFormat="1" applyFont="1" applyFill="1" applyBorder="1" applyAlignment="1">
      <alignment horizontal="left" vertical="top"/>
    </xf>
    <xf numFmtId="176" fontId="8" fillId="9" borderId="7" xfId="7" applyNumberFormat="1" applyFont="1" applyFill="1" applyBorder="1" applyAlignment="1">
      <alignment vertical="top"/>
    </xf>
    <xf numFmtId="177" fontId="0" fillId="9" borderId="0" xfId="7" applyNumberFormat="1" applyFont="1" applyFill="1">
      <alignment vertical="top"/>
    </xf>
    <xf numFmtId="177" fontId="8" fillId="9" borderId="5" xfId="7" applyNumberFormat="1" applyFont="1" applyFill="1" applyBorder="1">
      <alignment vertical="top"/>
    </xf>
    <xf numFmtId="3" fontId="17" fillId="9" borderId="4" xfId="0" applyNumberFormat="1" applyFont="1" applyFill="1" applyBorder="1" applyAlignment="1">
      <alignment horizontal="right" vertical="top" wrapText="1"/>
    </xf>
    <xf numFmtId="3" fontId="17" fillId="9" borderId="3" xfId="0" applyNumberFormat="1" applyFont="1" applyFill="1" applyBorder="1" applyAlignment="1">
      <alignment horizontal="right" vertical="top" wrapText="1"/>
    </xf>
    <xf numFmtId="176" fontId="8" fillId="9" borderId="5" xfId="7" applyNumberFormat="1" applyFont="1" applyFill="1" applyBorder="1" applyAlignment="1">
      <alignment horizontal="right" vertical="top"/>
    </xf>
    <xf numFmtId="3" fontId="8" fillId="9" borderId="4" xfId="0" applyNumberFormat="1" applyFont="1" applyFill="1" applyBorder="1" applyAlignment="1">
      <alignment horizontal="right" vertical="top"/>
    </xf>
    <xf numFmtId="3" fontId="8" fillId="9" borderId="3" xfId="0" applyNumberFormat="1" applyFont="1" applyFill="1" applyBorder="1" applyAlignment="1">
      <alignment horizontal="right" vertical="top"/>
    </xf>
    <xf numFmtId="176" fontId="8" fillId="9" borderId="3" xfId="0" applyNumberFormat="1" applyFont="1" applyFill="1" applyBorder="1" applyAlignment="1">
      <alignment horizontal="right" vertical="top"/>
    </xf>
    <xf numFmtId="0" fontId="8" fillId="9" borderId="6" xfId="0" applyFont="1" applyFill="1" applyBorder="1" applyAlignment="1">
      <alignment horizontal="left" vertical="top" wrapText="1"/>
    </xf>
    <xf numFmtId="177" fontId="88" fillId="4" borderId="1" xfId="7" applyNumberFormat="1" applyFont="1" applyFill="1" applyBorder="1" applyAlignment="1">
      <alignment horizontal="right" vertical="top"/>
    </xf>
    <xf numFmtId="177" fontId="8" fillId="0" borderId="0" xfId="7" applyNumberFormat="1" applyFont="1">
      <alignment vertical="top"/>
    </xf>
    <xf numFmtId="180" fontId="8" fillId="0" borderId="0" xfId="1" applyNumberFormat="1" applyFont="1">
      <alignment vertical="top"/>
    </xf>
    <xf numFmtId="180" fontId="8" fillId="0" borderId="0" xfId="0" applyNumberFormat="1" applyFont="1">
      <alignment vertical="top"/>
    </xf>
    <xf numFmtId="176" fontId="8" fillId="0" borderId="4" xfId="7" applyNumberFormat="1" applyFont="1" applyBorder="1" applyAlignment="1">
      <alignment vertical="top"/>
    </xf>
    <xf numFmtId="176" fontId="8" fillId="0" borderId="6" xfId="7" applyNumberFormat="1" applyFont="1" applyBorder="1" applyAlignment="1">
      <alignment vertical="top"/>
    </xf>
    <xf numFmtId="176" fontId="8" fillId="0" borderId="8" xfId="7" applyNumberFormat="1" applyFont="1" applyBorder="1" applyAlignment="1">
      <alignment vertical="top"/>
    </xf>
    <xf numFmtId="180" fontId="8" fillId="0" borderId="1" xfId="0" applyNumberFormat="1" applyFont="1" applyBorder="1">
      <alignment vertical="top"/>
    </xf>
    <xf numFmtId="177" fontId="8" fillId="0" borderId="1" xfId="7" applyNumberFormat="1" applyFont="1" applyBorder="1">
      <alignment vertical="top"/>
    </xf>
    <xf numFmtId="176" fontId="106" fillId="0" borderId="1" xfId="0" applyNumberFormat="1" applyFont="1" applyBorder="1">
      <alignment vertical="top"/>
    </xf>
    <xf numFmtId="176" fontId="8" fillId="0" borderId="26" xfId="7" applyNumberFormat="1" applyFont="1" applyBorder="1">
      <alignment vertical="top"/>
    </xf>
    <xf numFmtId="177" fontId="8" fillId="0" borderId="26" xfId="7" applyNumberFormat="1" applyFont="1" applyBorder="1">
      <alignment vertical="top"/>
    </xf>
    <xf numFmtId="180" fontId="8" fillId="0" borderId="26" xfId="0" applyNumberFormat="1" applyFont="1" applyBorder="1">
      <alignment vertical="top"/>
    </xf>
    <xf numFmtId="0" fontId="111" fillId="4" borderId="1" xfId="0" applyFont="1" applyFill="1" applyBorder="1" applyAlignment="1">
      <alignment horizontal="center" vertical="center"/>
    </xf>
    <xf numFmtId="177" fontId="89" fillId="4" borderId="12" xfId="7" applyNumberFormat="1" applyFont="1" applyFill="1" applyBorder="1">
      <alignment vertical="top"/>
    </xf>
    <xf numFmtId="177" fontId="89" fillId="4" borderId="1" xfId="7" applyNumberFormat="1" applyFont="1" applyFill="1" applyBorder="1">
      <alignment vertical="top"/>
    </xf>
    <xf numFmtId="0" fontId="0" fillId="0" borderId="0" xfId="0">
      <alignment vertical="top"/>
    </xf>
    <xf numFmtId="0" fontId="7" fillId="0" borderId="0" xfId="0" applyFont="1" applyAlignment="1"/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180" fontId="85" fillId="5" borderId="0" xfId="7" applyNumberFormat="1" applyFont="1" applyFill="1">
      <alignment vertical="top"/>
    </xf>
    <xf numFmtId="3" fontId="114" fillId="0" borderId="0" xfId="0" applyNumberFormat="1" applyFont="1" applyAlignment="1">
      <alignment horizontal="right" vertical="top"/>
    </xf>
    <xf numFmtId="0" fontId="115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left" vertical="top" wrapText="1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177" fontId="118" fillId="0" borderId="0" xfId="7" applyNumberFormat="1" applyFont="1">
      <alignment vertical="top"/>
    </xf>
    <xf numFmtId="177" fontId="118" fillId="13" borderId="0" xfId="7" applyNumberFormat="1" applyFont="1" applyFill="1">
      <alignment vertical="top"/>
    </xf>
    <xf numFmtId="177" fontId="118" fillId="14" borderId="0" xfId="7" applyNumberFormat="1" applyFon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177" fontId="118" fillId="15" borderId="0" xfId="7" applyNumberFormat="1" applyFon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177" fontId="118" fillId="16" borderId="0" xfId="7" applyNumberFormat="1" applyFon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177" fontId="118" fillId="17" borderId="0" xfId="7" applyNumberFormat="1" applyFont="1" applyFill="1">
      <alignment vertical="top"/>
    </xf>
    <xf numFmtId="3" fontId="0" fillId="0" borderId="0" xfId="0" applyNumberFormat="1">
      <alignment vertical="top"/>
    </xf>
    <xf numFmtId="3" fontId="0" fillId="13" borderId="0" xfId="0" applyNumberFormat="1" applyFill="1">
      <alignment vertical="top"/>
    </xf>
    <xf numFmtId="177" fontId="0" fillId="13" borderId="0" xfId="7" applyNumberFormat="1" applyFont="1" applyFill="1">
      <alignment vertical="top"/>
    </xf>
    <xf numFmtId="0" fontId="119" fillId="0" borderId="0" xfId="0" applyFont="1" applyAlignment="1">
      <alignment horizontal="left" vertical="top" wrapText="1"/>
    </xf>
    <xf numFmtId="0" fontId="120" fillId="0" borderId="0" xfId="0" applyFont="1">
      <alignment vertical="top"/>
    </xf>
    <xf numFmtId="177" fontId="120" fillId="13" borderId="0" xfId="7" applyNumberFormat="1" applyFont="1" applyFill="1">
      <alignment vertical="top"/>
    </xf>
    <xf numFmtId="0" fontId="120" fillId="14" borderId="0" xfId="0" applyFont="1" applyFill="1">
      <alignment vertical="top"/>
    </xf>
    <xf numFmtId="0" fontId="113" fillId="13" borderId="0" xfId="0" applyFont="1" applyFill="1">
      <alignment vertical="top"/>
    </xf>
    <xf numFmtId="0" fontId="111" fillId="0" borderId="0" xfId="0" applyFont="1">
      <alignment vertical="top"/>
    </xf>
    <xf numFmtId="0" fontId="113" fillId="0" borderId="0" xfId="0" applyFont="1" applyAlignment="1">
      <alignment horizontal="center" vertical="center"/>
    </xf>
    <xf numFmtId="177" fontId="121" fillId="14" borderId="0" xfId="0" applyNumberFormat="1" applyFont="1" applyFill="1">
      <alignment vertical="top"/>
    </xf>
    <xf numFmtId="0" fontId="89" fillId="13" borderId="0" xfId="0" applyFont="1" applyFill="1" applyAlignment="1">
      <alignment horizontal="center" vertical="center"/>
    </xf>
    <xf numFmtId="0" fontId="8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3" fontId="16" fillId="0" borderId="0" xfId="0" applyNumberFormat="1" applyFont="1" applyAlignment="1">
      <alignment horizontal="right" vertical="top"/>
    </xf>
    <xf numFmtId="3" fontId="114" fillId="0" borderId="0" xfId="0" applyNumberFormat="1" applyFont="1" applyAlignment="1">
      <alignment horizontal="right" vertical="top"/>
    </xf>
    <xf numFmtId="0" fontId="115" fillId="0" borderId="0" xfId="0" applyFont="1" applyAlignment="1">
      <alignment horizontal="left" vertical="top" wrapText="1"/>
    </xf>
    <xf numFmtId="3" fontId="122" fillId="14" borderId="0" xfId="0" applyNumberFormat="1" applyFont="1" applyFill="1" applyAlignment="1">
      <alignment horizontal="right" vertical="top"/>
    </xf>
    <xf numFmtId="0" fontId="16" fillId="0" borderId="0" xfId="0" applyFont="1" applyAlignment="1">
      <alignment horizontal="left" vertical="top" wrapText="1" readingOrder="1"/>
    </xf>
    <xf numFmtId="3" fontId="119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0" fontId="16" fillId="14" borderId="0" xfId="0" applyFont="1" applyFill="1" applyAlignment="1">
      <alignment horizontal="center" vertical="top" wrapText="1" readingOrder="1"/>
    </xf>
    <xf numFmtId="0" fontId="117" fillId="0" borderId="0" xfId="0" applyFont="1" applyAlignment="1">
      <alignment horizontal="right" vertical="top"/>
    </xf>
    <xf numFmtId="0" fontId="11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3" fontId="16" fillId="14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3" fontId="16" fillId="16" borderId="0" xfId="0" applyNumberFormat="1" applyFont="1" applyFill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16" fillId="17" borderId="0" xfId="0" applyNumberFormat="1" applyFont="1" applyFill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1" xfId="0" applyBorder="1">
      <alignment vertical="top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83" fillId="0" borderId="0" xfId="0" applyFont="1" applyAlignment="1">
      <alignment horizontal="left" vertical="top" wrapText="1"/>
    </xf>
    <xf numFmtId="0" fontId="112" fillId="0" borderId="0" xfId="0" applyFont="1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9" borderId="0" xfId="0" applyFont="1" applyFill="1" applyAlignment="1">
      <alignment horizontal="left" vertical="top"/>
    </xf>
    <xf numFmtId="0" fontId="8" fillId="9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9" borderId="4" xfId="0" applyFont="1" applyFill="1" applyBorder="1" applyAlignment="1">
      <alignment horizontal="left" vertical="top" wrapText="1"/>
    </xf>
    <xf numFmtId="0" fontId="8" fillId="9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9" borderId="6" xfId="0" applyFont="1" applyFill="1" applyBorder="1" applyAlignment="1">
      <alignment horizontal="left" vertical="top"/>
    </xf>
    <xf numFmtId="0" fontId="8" fillId="9" borderId="6" xfId="0" applyFont="1" applyFill="1" applyBorder="1" applyAlignment="1">
      <alignment horizontal="left" vertical="top" readingOrder="1"/>
    </xf>
    <xf numFmtId="0" fontId="8" fillId="9" borderId="0" xfId="0" applyFont="1" applyFill="1" applyAlignment="1">
      <alignment horizontal="left" vertical="top" readingOrder="1"/>
    </xf>
    <xf numFmtId="177" fontId="8" fillId="9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/>
    <xf numFmtId="0" fontId="22" fillId="0" borderId="13" xfId="6" applyBorder="1"/>
    <xf numFmtId="0" fontId="22" fillId="0" borderId="15" xfId="6" applyBorder="1"/>
    <xf numFmtId="0" fontId="22" fillId="0" borderId="14" xfId="6" applyBorder="1"/>
    <xf numFmtId="0" fontId="22" fillId="0" borderId="4" xfId="6" applyBorder="1"/>
    <xf numFmtId="0" fontId="22" fillId="0" borderId="3" xfId="6" applyBorder="1"/>
    <xf numFmtId="0" fontId="22" fillId="0" borderId="2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9" fillId="0" borderId="3" xfId="6" applyFont="1" applyBorder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b/>
        <i/>
        <strike/>
        <color rgb="FFFF0000"/>
      </font>
      <fill>
        <patternFill>
          <bgColor theme="1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103</xdr:row>
      <xdr:rowOff>68111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31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37</xdr:row>
      <xdr:rowOff>48584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0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退撫"/>
      <sheetName val="公保"/>
      <sheetName val="健保"/>
      <sheetName val="勞保"/>
      <sheetName val="勞退"/>
      <sheetName val="代收款"/>
      <sheetName val="預算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0">
          <cell r="H20">
            <v>57916</v>
          </cell>
        </row>
        <row r="21">
          <cell r="H21">
            <v>1951347</v>
          </cell>
        </row>
        <row r="22">
          <cell r="H22">
            <v>18466</v>
          </cell>
        </row>
      </sheetData>
      <sheetData sheetId="11"/>
      <sheetData sheetId="12"/>
      <sheetData sheetId="13">
        <row r="13">
          <cell r="N13"/>
          <cell r="O13"/>
          <cell r="P13"/>
          <cell r="Q13" t="str">
            <v>2</v>
          </cell>
          <cell r="R13"/>
          <cell r="S13"/>
          <cell r="T13">
            <v>12625689</v>
          </cell>
        </row>
        <row r="14">
          <cell r="N14"/>
          <cell r="O14"/>
          <cell r="P14"/>
          <cell r="Q14" t="str">
            <v>21</v>
          </cell>
          <cell r="R14"/>
          <cell r="S14"/>
          <cell r="T14">
            <v>9666749</v>
          </cell>
        </row>
        <row r="15">
          <cell r="N15"/>
          <cell r="O15"/>
          <cell r="P15"/>
          <cell r="Q15" t="str">
            <v>2102</v>
          </cell>
          <cell r="R15"/>
          <cell r="S15"/>
          <cell r="T15">
            <v>9666749</v>
          </cell>
        </row>
        <row r="16">
          <cell r="N16" t="str">
            <v>應付代收款</v>
          </cell>
          <cell r="O16"/>
          <cell r="P16"/>
          <cell r="Q16" t="str">
            <v>210203</v>
          </cell>
          <cell r="R16"/>
          <cell r="S16"/>
          <cell r="T16">
            <v>9666749</v>
          </cell>
        </row>
        <row r="17">
          <cell r="N17" t="str">
            <v>應付費用</v>
          </cell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N18"/>
          <cell r="O18"/>
          <cell r="P18"/>
          <cell r="Q18" t="str">
            <v>28</v>
          </cell>
          <cell r="R18"/>
          <cell r="S18"/>
          <cell r="T18">
            <v>2958940</v>
          </cell>
        </row>
        <row r="19">
          <cell r="N19"/>
          <cell r="O19"/>
          <cell r="P19"/>
          <cell r="Q19" t="str">
            <v>2801</v>
          </cell>
          <cell r="R19"/>
          <cell r="S19"/>
          <cell r="T19">
            <v>2958940</v>
          </cell>
        </row>
        <row r="20">
          <cell r="N20" t="str">
            <v>存入保證金</v>
          </cell>
          <cell r="O20"/>
          <cell r="P20"/>
          <cell r="Q20" t="str">
            <v>280104</v>
          </cell>
          <cell r="R20"/>
          <cell r="S20"/>
          <cell r="T20">
            <v>769201</v>
          </cell>
        </row>
        <row r="21">
          <cell r="N21" t="str">
            <v>應付退休及離職金</v>
          </cell>
          <cell r="O21"/>
          <cell r="P21"/>
          <cell r="Q21" t="str">
            <v>280106</v>
          </cell>
          <cell r="R21"/>
          <cell r="S21"/>
          <cell r="T21">
            <v>2189739</v>
          </cell>
        </row>
        <row r="22">
          <cell r="N22"/>
          <cell r="O22"/>
          <cell r="P22"/>
          <cell r="Q22" t="str">
            <v>3</v>
          </cell>
          <cell r="R22"/>
          <cell r="S22"/>
          <cell r="T22">
            <v>346414818</v>
          </cell>
        </row>
        <row r="23">
          <cell r="N23"/>
          <cell r="O23"/>
          <cell r="P23"/>
          <cell r="Q23" t="str">
            <v>31</v>
          </cell>
          <cell r="R23"/>
          <cell r="S23"/>
          <cell r="T23">
            <v>346414818</v>
          </cell>
        </row>
        <row r="24">
          <cell r="N24"/>
          <cell r="O24"/>
          <cell r="P24"/>
          <cell r="Q24" t="str">
            <v>3101</v>
          </cell>
          <cell r="R24"/>
          <cell r="S24"/>
          <cell r="T24">
            <v>346414818</v>
          </cell>
        </row>
        <row r="25">
          <cell r="N25" t="str">
            <v>累積餘額</v>
          </cell>
          <cell r="O25"/>
          <cell r="P25"/>
          <cell r="Q25" t="str">
            <v>310101</v>
          </cell>
          <cell r="R25"/>
          <cell r="S25"/>
          <cell r="T25">
            <v>343110363</v>
          </cell>
        </row>
        <row r="26">
          <cell r="N26" t="str">
            <v>本期賸餘</v>
          </cell>
          <cell r="O26"/>
          <cell r="P26"/>
          <cell r="Q26" t="str">
            <v>310102</v>
          </cell>
          <cell r="R26"/>
          <cell r="S26"/>
          <cell r="T26">
            <v>3304455</v>
          </cell>
        </row>
        <row r="27">
          <cell r="N27" t="str">
            <v>淨資產調整數</v>
          </cell>
          <cell r="O27"/>
          <cell r="P27"/>
          <cell r="Q27" t="str">
            <v>310104</v>
          </cell>
          <cell r="R27"/>
          <cell r="S27"/>
          <cell r="T27"/>
        </row>
        <row r="28">
          <cell r="N28"/>
          <cell r="O28"/>
          <cell r="P28"/>
          <cell r="Q28"/>
          <cell r="R28"/>
          <cell r="S28"/>
          <cell r="T28"/>
        </row>
        <row r="29">
          <cell r="N29"/>
          <cell r="O29"/>
          <cell r="P29"/>
          <cell r="Q29"/>
          <cell r="R29"/>
          <cell r="S29"/>
          <cell r="T29">
            <v>359040507</v>
          </cell>
        </row>
        <row r="30">
          <cell r="N30"/>
          <cell r="O30"/>
          <cell r="P30"/>
          <cell r="Q30"/>
          <cell r="R30"/>
          <cell r="S30"/>
          <cell r="T30"/>
        </row>
        <row r="31">
          <cell r="N31"/>
          <cell r="O31"/>
          <cell r="P31"/>
          <cell r="Q31"/>
          <cell r="R31"/>
          <cell r="S31"/>
          <cell r="T31"/>
        </row>
        <row r="32">
          <cell r="N32"/>
          <cell r="O32"/>
          <cell r="P32"/>
          <cell r="Q32"/>
          <cell r="R32"/>
          <cell r="S32"/>
          <cell r="T32"/>
        </row>
        <row r="33">
          <cell r="N33"/>
          <cell r="O33"/>
          <cell r="P33"/>
          <cell r="Q33"/>
          <cell r="R33"/>
          <cell r="S33"/>
          <cell r="T33"/>
        </row>
        <row r="34">
          <cell r="N34"/>
          <cell r="O34"/>
          <cell r="P34"/>
          <cell r="Q34"/>
          <cell r="R34"/>
          <cell r="S34"/>
          <cell r="T34"/>
        </row>
        <row r="35">
          <cell r="N35"/>
          <cell r="O35"/>
          <cell r="P35"/>
          <cell r="Q35"/>
          <cell r="R35"/>
          <cell r="S35"/>
          <cell r="T35"/>
        </row>
        <row r="36">
          <cell r="N36"/>
          <cell r="O36"/>
          <cell r="P36"/>
          <cell r="Q36"/>
          <cell r="R36"/>
          <cell r="S36"/>
          <cell r="T36"/>
        </row>
        <row r="37">
          <cell r="N37"/>
          <cell r="O37"/>
          <cell r="P37"/>
          <cell r="Q37"/>
          <cell r="R37"/>
          <cell r="S37"/>
          <cell r="T37"/>
        </row>
        <row r="38">
          <cell r="N38"/>
          <cell r="O38"/>
          <cell r="P38"/>
          <cell r="Q38"/>
          <cell r="R38"/>
          <cell r="S38"/>
          <cell r="T38"/>
        </row>
        <row r="39">
          <cell r="N39"/>
          <cell r="O39"/>
          <cell r="P39"/>
          <cell r="Q39"/>
          <cell r="R39"/>
          <cell r="S39"/>
          <cell r="T39"/>
        </row>
        <row r="40">
          <cell r="N40"/>
          <cell r="O40"/>
          <cell r="P40"/>
          <cell r="Q40"/>
          <cell r="R40"/>
          <cell r="S40"/>
          <cell r="T40"/>
        </row>
        <row r="41">
          <cell r="N41"/>
          <cell r="O41"/>
          <cell r="P41"/>
          <cell r="Q41"/>
          <cell r="R41"/>
          <cell r="S41"/>
          <cell r="T41"/>
        </row>
        <row r="42">
          <cell r="N42"/>
          <cell r="O42"/>
          <cell r="P42"/>
          <cell r="Q42"/>
          <cell r="R42"/>
          <cell r="S42"/>
          <cell r="T42"/>
        </row>
        <row r="43">
          <cell r="N43"/>
          <cell r="O43"/>
          <cell r="P43"/>
          <cell r="Q43"/>
          <cell r="R43"/>
          <cell r="S43"/>
          <cell r="T43"/>
        </row>
        <row r="44">
          <cell r="N44"/>
          <cell r="O44"/>
          <cell r="P44"/>
          <cell r="Q44"/>
          <cell r="R44"/>
          <cell r="S44"/>
          <cell r="T44"/>
        </row>
        <row r="45">
          <cell r="N45"/>
          <cell r="O45"/>
          <cell r="P45"/>
          <cell r="Q45"/>
          <cell r="R45"/>
          <cell r="S45"/>
          <cell r="T45"/>
        </row>
        <row r="46">
          <cell r="N46"/>
          <cell r="O46"/>
          <cell r="P46"/>
          <cell r="Q46"/>
          <cell r="R46"/>
          <cell r="S46"/>
          <cell r="T46"/>
        </row>
        <row r="47">
          <cell r="N47"/>
          <cell r="O47"/>
          <cell r="P47"/>
          <cell r="Q47"/>
          <cell r="R47"/>
          <cell r="S47"/>
          <cell r="T47"/>
        </row>
        <row r="48">
          <cell r="N48"/>
          <cell r="O48"/>
          <cell r="P48"/>
          <cell r="Q48"/>
          <cell r="R48"/>
          <cell r="S48"/>
          <cell r="T48"/>
        </row>
        <row r="49">
          <cell r="N49"/>
          <cell r="O49"/>
          <cell r="P49"/>
          <cell r="Q49"/>
          <cell r="R49"/>
          <cell r="S49"/>
          <cell r="T49"/>
        </row>
        <row r="50">
          <cell r="N50"/>
          <cell r="O50"/>
          <cell r="P50"/>
          <cell r="Q50"/>
          <cell r="R50"/>
          <cell r="S50"/>
          <cell r="T50"/>
        </row>
        <row r="51">
          <cell r="N51"/>
          <cell r="O51"/>
          <cell r="P51"/>
          <cell r="Q51"/>
          <cell r="R51"/>
          <cell r="S51"/>
          <cell r="T51"/>
        </row>
        <row r="52">
          <cell r="N52"/>
          <cell r="O52"/>
          <cell r="P52"/>
          <cell r="Q52"/>
          <cell r="R52"/>
          <cell r="S52"/>
          <cell r="T52"/>
        </row>
        <row r="53">
          <cell r="N53"/>
          <cell r="O53"/>
          <cell r="P53"/>
          <cell r="Q53"/>
          <cell r="R53"/>
          <cell r="S53"/>
          <cell r="T53"/>
        </row>
        <row r="54">
          <cell r="N54"/>
          <cell r="O54"/>
          <cell r="P54"/>
          <cell r="Q54"/>
          <cell r="R54"/>
          <cell r="S54"/>
          <cell r="T54"/>
        </row>
        <row r="55">
          <cell r="N55"/>
          <cell r="O55"/>
          <cell r="P55"/>
          <cell r="Q55"/>
          <cell r="R55"/>
          <cell r="S55"/>
          <cell r="T55"/>
        </row>
        <row r="56">
          <cell r="N56"/>
          <cell r="O56"/>
          <cell r="P56"/>
          <cell r="Q56"/>
          <cell r="R56"/>
          <cell r="S56"/>
          <cell r="T56"/>
        </row>
        <row r="57">
          <cell r="N57"/>
          <cell r="O57"/>
          <cell r="P57"/>
          <cell r="Q57"/>
          <cell r="R57"/>
          <cell r="S57"/>
          <cell r="T57"/>
        </row>
        <row r="58">
          <cell r="N58"/>
          <cell r="O58"/>
          <cell r="P58"/>
          <cell r="Q58"/>
          <cell r="R58"/>
          <cell r="S58"/>
          <cell r="T58"/>
        </row>
        <row r="59">
          <cell r="N59"/>
          <cell r="O59"/>
          <cell r="P59"/>
          <cell r="Q59"/>
          <cell r="R59"/>
          <cell r="S59"/>
          <cell r="T59"/>
        </row>
        <row r="60">
          <cell r="N60"/>
          <cell r="O60"/>
          <cell r="P60"/>
          <cell r="Q60"/>
          <cell r="R60"/>
          <cell r="S60"/>
          <cell r="T60"/>
        </row>
        <row r="61">
          <cell r="N61"/>
          <cell r="O61"/>
          <cell r="P61"/>
          <cell r="Q61"/>
          <cell r="R61"/>
          <cell r="S61"/>
          <cell r="T61"/>
        </row>
        <row r="62">
          <cell r="N62"/>
          <cell r="O62"/>
          <cell r="P62"/>
          <cell r="Q62"/>
          <cell r="R62"/>
          <cell r="S62"/>
          <cell r="T62"/>
        </row>
        <row r="63">
          <cell r="N63"/>
          <cell r="O63"/>
          <cell r="P63"/>
          <cell r="Q63"/>
          <cell r="R63"/>
          <cell r="S63"/>
          <cell r="T63"/>
        </row>
        <row r="64">
          <cell r="N64"/>
          <cell r="O64"/>
          <cell r="P64"/>
          <cell r="Q64"/>
          <cell r="R64"/>
          <cell r="S64"/>
          <cell r="T64"/>
        </row>
        <row r="65">
          <cell r="N65"/>
          <cell r="O65"/>
          <cell r="P65"/>
          <cell r="Q65"/>
          <cell r="R65"/>
          <cell r="S65"/>
          <cell r="T65"/>
        </row>
        <row r="66">
          <cell r="N66"/>
          <cell r="O66"/>
          <cell r="P66"/>
          <cell r="Q66"/>
          <cell r="R66"/>
          <cell r="S66"/>
          <cell r="T66"/>
        </row>
        <row r="67">
          <cell r="N67"/>
          <cell r="O67"/>
          <cell r="P67"/>
          <cell r="Q67"/>
          <cell r="R67"/>
          <cell r="S67"/>
          <cell r="T67"/>
        </row>
        <row r="68">
          <cell r="N68"/>
          <cell r="O68"/>
          <cell r="P68"/>
          <cell r="Q68"/>
          <cell r="R68"/>
          <cell r="S68"/>
          <cell r="T68"/>
        </row>
        <row r="69">
          <cell r="N69"/>
          <cell r="O69"/>
          <cell r="P69"/>
          <cell r="Q69"/>
          <cell r="R69"/>
          <cell r="S69"/>
          <cell r="T69"/>
        </row>
        <row r="70">
          <cell r="N70"/>
          <cell r="O70"/>
          <cell r="P70"/>
          <cell r="Q70"/>
          <cell r="R70"/>
          <cell r="S70"/>
          <cell r="T70"/>
        </row>
        <row r="71">
          <cell r="N71"/>
          <cell r="O71"/>
          <cell r="P71"/>
          <cell r="Q71"/>
          <cell r="R71"/>
          <cell r="S71"/>
          <cell r="T71"/>
        </row>
        <row r="72">
          <cell r="N72"/>
          <cell r="O72"/>
          <cell r="P72"/>
          <cell r="Q72"/>
          <cell r="R72"/>
          <cell r="S72"/>
          <cell r="T72"/>
        </row>
        <row r="73">
          <cell r="N73"/>
          <cell r="O73"/>
          <cell r="P73"/>
          <cell r="Q73"/>
          <cell r="R73"/>
          <cell r="S73"/>
          <cell r="T73"/>
        </row>
        <row r="74">
          <cell r="N74"/>
          <cell r="O74"/>
          <cell r="P74"/>
          <cell r="Q74"/>
          <cell r="R74"/>
          <cell r="S74"/>
          <cell r="T74"/>
        </row>
        <row r="75">
          <cell r="N75"/>
          <cell r="O75"/>
          <cell r="P75"/>
          <cell r="Q75"/>
          <cell r="R75"/>
          <cell r="S75"/>
          <cell r="T75"/>
        </row>
        <row r="76">
          <cell r="N76"/>
          <cell r="O76"/>
          <cell r="P76"/>
          <cell r="Q76"/>
          <cell r="R76"/>
          <cell r="S76"/>
          <cell r="T76"/>
        </row>
        <row r="77">
          <cell r="N77"/>
          <cell r="O77"/>
          <cell r="P77"/>
          <cell r="Q77"/>
          <cell r="R77"/>
          <cell r="S77"/>
          <cell r="T77"/>
        </row>
        <row r="78">
          <cell r="N78"/>
          <cell r="O78"/>
          <cell r="P78"/>
          <cell r="Q78"/>
          <cell r="R78"/>
          <cell r="S78"/>
          <cell r="T78"/>
        </row>
        <row r="79">
          <cell r="N79"/>
          <cell r="O79"/>
          <cell r="P79"/>
          <cell r="Q79"/>
          <cell r="R79"/>
          <cell r="S79"/>
          <cell r="T79"/>
        </row>
        <row r="80">
          <cell r="N80"/>
          <cell r="O80"/>
          <cell r="P80"/>
          <cell r="Q80"/>
          <cell r="R80"/>
          <cell r="S80"/>
          <cell r="T80"/>
        </row>
        <row r="81">
          <cell r="N81"/>
          <cell r="O81"/>
          <cell r="P81"/>
          <cell r="Q81"/>
          <cell r="R81"/>
          <cell r="S81"/>
          <cell r="T81"/>
        </row>
        <row r="82">
          <cell r="N82"/>
          <cell r="O82"/>
          <cell r="P82"/>
          <cell r="Q82"/>
          <cell r="R82"/>
          <cell r="S82">
            <v>0</v>
          </cell>
          <cell r="T82"/>
        </row>
      </sheetData>
      <sheetData sheetId="14"/>
      <sheetData sheetId="15"/>
      <sheetData sheetId="16"/>
      <sheetData sheetId="17"/>
      <sheetData sheetId="18"/>
      <sheetData sheetId="19">
        <row r="14">
          <cell r="N14">
            <v>107581069</v>
          </cell>
        </row>
        <row r="15">
          <cell r="N15">
            <v>250121</v>
          </cell>
        </row>
        <row r="16">
          <cell r="N16">
            <v>250121</v>
          </cell>
        </row>
        <row r="17">
          <cell r="N17">
            <v>1650259</v>
          </cell>
        </row>
        <row r="18">
          <cell r="N18">
            <v>34099</v>
          </cell>
        </row>
        <row r="19">
          <cell r="N19">
            <v>880</v>
          </cell>
        </row>
        <row r="20">
          <cell r="N20">
            <v>99398</v>
          </cell>
        </row>
        <row r="21">
          <cell r="N21">
            <v>1515882</v>
          </cell>
        </row>
        <row r="22">
          <cell r="N22">
            <v>105675255</v>
          </cell>
        </row>
        <row r="23">
          <cell r="N23">
            <v>105675255</v>
          </cell>
        </row>
        <row r="24">
          <cell r="N24">
            <v>5434</v>
          </cell>
        </row>
        <row r="25">
          <cell r="N25">
            <v>5000</v>
          </cell>
        </row>
        <row r="26">
          <cell r="N26">
            <v>434</v>
          </cell>
        </row>
        <row r="27">
          <cell r="N27">
            <v>104276614</v>
          </cell>
        </row>
        <row r="28">
          <cell r="N28">
            <v>93441199</v>
          </cell>
        </row>
        <row r="29">
          <cell r="N29">
            <v>93441199</v>
          </cell>
        </row>
        <row r="30">
          <cell r="N30">
            <v>2677593</v>
          </cell>
        </row>
        <row r="31">
          <cell r="N31">
            <v>2677593</v>
          </cell>
        </row>
        <row r="32">
          <cell r="N32">
            <v>120508</v>
          </cell>
        </row>
        <row r="33">
          <cell r="N33">
            <v>120508</v>
          </cell>
        </row>
        <row r="34">
          <cell r="N34">
            <v>7842530</v>
          </cell>
        </row>
        <row r="35">
          <cell r="N35">
            <v>7784614</v>
          </cell>
        </row>
        <row r="36">
          <cell r="N36">
            <v>57916</v>
          </cell>
        </row>
        <row r="37">
          <cell r="N37">
            <v>194784</v>
          </cell>
        </row>
        <row r="38">
          <cell r="N38">
            <v>194784</v>
          </cell>
        </row>
        <row r="39">
          <cell r="N39">
            <v>3304455</v>
          </cell>
        </row>
        <row r="41">
          <cell r="N41">
            <v>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462</v>
      </c>
    </row>
    <row r="4" spans="1:14" ht="36.75">
      <c r="A4" s="610" t="s">
        <v>269</v>
      </c>
      <c r="B4" s="611"/>
      <c r="C4" s="611"/>
      <c r="D4" s="611"/>
      <c r="E4" s="611"/>
      <c r="F4" s="611"/>
      <c r="G4" s="611"/>
      <c r="H4" s="611"/>
      <c r="I4" s="611"/>
      <c r="J4" s="611"/>
      <c r="K4" s="611"/>
      <c r="L4" s="611"/>
      <c r="M4" s="611"/>
      <c r="N4" s="611"/>
    </row>
    <row r="5" spans="1:14" ht="59.25" customHeight="1"/>
    <row r="6" spans="1:14" ht="59.25" customHeight="1"/>
    <row r="7" spans="1:14" ht="36.75">
      <c r="C7" s="612" t="s">
        <v>116</v>
      </c>
      <c r="D7" s="612"/>
      <c r="E7" s="612"/>
      <c r="F7" s="612"/>
      <c r="G7" s="612"/>
      <c r="H7" s="612"/>
      <c r="I7" s="612"/>
      <c r="J7" s="612"/>
      <c r="K7" s="612"/>
      <c r="L7" s="612"/>
    </row>
    <row r="8" spans="1:14" ht="51.75" customHeight="1"/>
    <row r="9" spans="1:14" ht="51.75" customHeight="1"/>
    <row r="10" spans="1:14" s="54" customFormat="1" ht="32.25">
      <c r="C10" s="284"/>
      <c r="D10" s="284"/>
      <c r="E10" s="613" t="s">
        <v>117</v>
      </c>
      <c r="F10" s="613"/>
      <c r="G10" s="613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614" t="s">
        <v>120</v>
      </c>
      <c r="C15" s="614"/>
      <c r="D15" s="614"/>
      <c r="E15" s="614"/>
      <c r="F15" s="614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A26" sqref="A26:XFD26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12" t="str">
        <f>封面!$A$4</f>
        <v>彰化縣地方教育發展基金－彰化縣彰化市民生國民小學</v>
      </c>
      <c r="B1" s="713"/>
      <c r="C1" s="713"/>
      <c r="D1" s="713"/>
      <c r="E1" s="713"/>
      <c r="F1" s="713"/>
      <c r="G1" s="713"/>
      <c r="H1" s="713"/>
      <c r="I1" s="713"/>
      <c r="J1" s="713"/>
      <c r="K1" s="713"/>
      <c r="L1" s="713"/>
      <c r="M1" s="714"/>
    </row>
    <row r="2" spans="1:13">
      <c r="A2" s="713"/>
      <c r="B2" s="713"/>
      <c r="C2" s="713"/>
      <c r="D2" s="713"/>
      <c r="E2" s="713"/>
      <c r="F2" s="713"/>
      <c r="G2" s="713"/>
      <c r="H2" s="713"/>
      <c r="I2" s="713"/>
      <c r="J2" s="713"/>
      <c r="K2" s="713"/>
      <c r="L2" s="713"/>
      <c r="M2" s="714"/>
    </row>
    <row r="3" spans="1:13">
      <c r="M3" s="194"/>
    </row>
    <row r="4" spans="1:13" ht="23.25" customHeight="1">
      <c r="A4" s="715" t="s">
        <v>27</v>
      </c>
      <c r="B4" s="715"/>
      <c r="C4" s="715"/>
      <c r="D4" s="715"/>
      <c r="E4" s="715"/>
      <c r="F4" s="715"/>
      <c r="G4" s="715"/>
      <c r="H4" s="715"/>
      <c r="I4" s="715"/>
      <c r="J4" s="715"/>
      <c r="K4" s="715"/>
      <c r="L4" s="715"/>
      <c r="M4" s="715"/>
    </row>
    <row r="5" spans="1:13" ht="2.25" customHeight="1">
      <c r="A5" s="715"/>
      <c r="B5" s="715"/>
      <c r="C5" s="715"/>
      <c r="D5" s="715"/>
      <c r="E5" s="715"/>
      <c r="F5" s="715"/>
      <c r="G5" s="715"/>
      <c r="H5" s="715"/>
      <c r="I5" s="715"/>
      <c r="J5" s="715"/>
      <c r="K5" s="715"/>
      <c r="L5" s="715"/>
      <c r="M5" s="715"/>
    </row>
    <row r="6" spans="1:13" ht="16.5">
      <c r="A6" s="716" t="str">
        <f>封面!$E$10&amp;封面!$H$10&amp;封面!$I$10&amp;封面!$J$10&amp;封面!$K$10&amp;封面!L10</f>
        <v>中華民國114年9月份</v>
      </c>
      <c r="B6" s="716"/>
      <c r="C6" s="716"/>
      <c r="D6" s="716"/>
      <c r="E6" s="716"/>
      <c r="F6" s="716"/>
      <c r="G6" s="716"/>
      <c r="H6" s="716"/>
      <c r="I6" s="716"/>
      <c r="J6" s="716"/>
      <c r="K6" s="716"/>
      <c r="L6" s="716"/>
      <c r="M6" s="716"/>
    </row>
    <row r="7" spans="1:13" ht="10.5" customHeight="1"/>
    <row r="8" spans="1:13" ht="16.5">
      <c r="A8" s="668" t="s">
        <v>1</v>
      </c>
      <c r="B8" s="668"/>
      <c r="C8" s="668"/>
      <c r="D8" s="668"/>
      <c r="E8" s="668"/>
      <c r="F8" s="668"/>
      <c r="G8" s="668"/>
      <c r="H8" s="668"/>
      <c r="I8" s="668"/>
      <c r="J8" s="668"/>
      <c r="K8" s="668"/>
      <c r="L8" s="668"/>
      <c r="M8" s="668"/>
    </row>
    <row r="9" spans="1:13" ht="1.5" customHeight="1"/>
    <row r="10" spans="1:13" s="5" customFormat="1" ht="32.25" customHeight="1">
      <c r="A10" s="15"/>
      <c r="B10" s="706" t="s">
        <v>28</v>
      </c>
      <c r="C10" s="707"/>
      <c r="D10" s="708" t="s">
        <v>29</v>
      </c>
      <c r="E10" s="711" t="s">
        <v>30</v>
      </c>
      <c r="F10" s="706"/>
      <c r="G10" s="706"/>
      <c r="H10" s="717" t="s">
        <v>201</v>
      </c>
      <c r="I10" s="718"/>
      <c r="J10" s="718"/>
      <c r="K10" s="718"/>
      <c r="L10" s="718"/>
      <c r="M10" s="67"/>
    </row>
    <row r="11" spans="1:13" s="5" customFormat="1" ht="16.5" hidden="1" customHeight="1">
      <c r="B11" s="719" t="s">
        <v>31</v>
      </c>
      <c r="C11" s="708" t="s">
        <v>32</v>
      </c>
      <c r="D11" s="709"/>
      <c r="E11" s="708" t="s">
        <v>33</v>
      </c>
      <c r="F11" s="708" t="s">
        <v>34</v>
      </c>
      <c r="G11" s="708" t="s">
        <v>35</v>
      </c>
      <c r="H11" s="708" t="s">
        <v>33</v>
      </c>
      <c r="I11" s="708" t="s">
        <v>34</v>
      </c>
      <c r="J11" s="723" t="s">
        <v>193</v>
      </c>
      <c r="K11" s="724"/>
      <c r="L11" s="725"/>
      <c r="M11" s="125"/>
    </row>
    <row r="12" spans="1:13" s="5" customFormat="1" ht="16.5">
      <c r="A12" s="15"/>
      <c r="B12" s="720"/>
      <c r="C12" s="721"/>
      <c r="D12" s="710"/>
      <c r="E12" s="721"/>
      <c r="F12" s="721"/>
      <c r="G12" s="721"/>
      <c r="H12" s="722"/>
      <c r="I12" s="722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5"/>
      <c r="G15" s="236"/>
      <c r="H15" s="237">
        <v>19899459</v>
      </c>
      <c r="I15" s="237">
        <v>9501000</v>
      </c>
      <c r="J15" s="237">
        <v>10398459</v>
      </c>
      <c r="K15" s="237"/>
      <c r="L15" s="238">
        <v>109.44594253236501</v>
      </c>
      <c r="M15" s="123"/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8"/>
      <c r="D17" s="508" t="s">
        <v>37</v>
      </c>
      <c r="E17" s="337"/>
      <c r="F17" s="235"/>
      <c r="G17" s="236"/>
      <c r="H17" s="237">
        <v>116075942</v>
      </c>
      <c r="I17" s="237">
        <v>118142000</v>
      </c>
      <c r="J17" s="237">
        <v>-2066058</v>
      </c>
      <c r="K17" s="237"/>
      <c r="L17" s="238">
        <v>-1.7487921315027677</v>
      </c>
      <c r="M17" s="123"/>
    </row>
    <row r="18" spans="1:13" ht="12.75" customHeight="1">
      <c r="C18" s="322"/>
      <c r="D18" s="472"/>
      <c r="E18" s="323"/>
      <c r="F18" s="69"/>
      <c r="G18" s="69"/>
      <c r="H18" s="475"/>
      <c r="I18" s="475"/>
      <c r="J18" s="475"/>
      <c r="K18" s="475"/>
      <c r="L18" s="475"/>
      <c r="M18" s="474"/>
    </row>
    <row r="19" spans="1:13" ht="12.75" customHeight="1">
      <c r="C19" s="322"/>
      <c r="D19" s="322"/>
      <c r="E19" s="323"/>
      <c r="F19" s="69"/>
      <c r="G19" s="69"/>
      <c r="H19" s="476"/>
      <c r="I19" s="476"/>
      <c r="J19" s="476"/>
      <c r="K19" s="476"/>
      <c r="L19" s="476"/>
      <c r="M19" s="474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5"/>
      <c r="G20" s="82"/>
      <c r="H20" s="237">
        <v>61824</v>
      </c>
      <c r="I20" s="237">
        <v>0</v>
      </c>
      <c r="J20" s="237">
        <v>61824</v>
      </c>
      <c r="K20" s="237"/>
      <c r="L20" s="238">
        <v>0</v>
      </c>
      <c r="M20" s="123"/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8"/>
      <c r="D22" s="508" t="s">
        <v>37</v>
      </c>
      <c r="E22" s="337"/>
      <c r="F22" s="235"/>
      <c r="G22" s="82"/>
      <c r="H22" s="237">
        <v>128248</v>
      </c>
      <c r="I22" s="237">
        <v>150000</v>
      </c>
      <c r="J22" s="237">
        <v>-21752</v>
      </c>
      <c r="K22" s="237"/>
      <c r="L22" s="238">
        <v>-14.501333333333335</v>
      </c>
      <c r="M22" s="123"/>
    </row>
    <row r="23" spans="1:13" ht="12.75" customHeight="1">
      <c r="D23" s="473"/>
      <c r="E23" s="69"/>
      <c r="F23" s="69"/>
      <c r="G23" s="69"/>
      <c r="H23" s="475"/>
      <c r="I23" s="475"/>
      <c r="J23" s="475"/>
      <c r="K23" s="475"/>
      <c r="L23" s="475"/>
      <c r="M23" s="474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A26" sqref="A26:XFD26"/>
    </sheetView>
  </sheetViews>
  <sheetFormatPr defaultColWidth="9.140625" defaultRowHeight="15.75"/>
  <cols>
    <col min="1" max="1" width="25.42578125" style="206" customWidth="1"/>
    <col min="2" max="7" width="17" style="49" customWidth="1"/>
    <col min="8" max="8" width="15.28515625" style="549" bestFit="1" customWidth="1"/>
    <col min="9" max="9" width="15.5703125" style="551" customWidth="1"/>
    <col min="10" max="16384" width="9.140625" style="49"/>
  </cols>
  <sheetData>
    <row r="1" spans="1:11" s="69" customFormat="1" ht="19.5">
      <c r="A1" s="728" t="str">
        <f>封面!$A$4</f>
        <v>彰化縣地方教育發展基金－彰化縣彰化市民生國民小學</v>
      </c>
      <c r="B1" s="728"/>
      <c r="C1" s="728"/>
      <c r="D1" s="728"/>
      <c r="E1" s="728"/>
      <c r="F1" s="728"/>
      <c r="G1" s="729"/>
      <c r="H1" s="549"/>
      <c r="I1" s="550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H2" s="549"/>
      <c r="I2" s="550"/>
      <c r="J2" s="201"/>
      <c r="K2" s="182"/>
    </row>
    <row r="3" spans="1:11" s="69" customFormat="1" ht="14.25" hidden="1" customHeight="1">
      <c r="A3" s="205"/>
      <c r="H3" s="549"/>
      <c r="I3" s="550"/>
      <c r="J3" s="201"/>
      <c r="K3" s="182"/>
    </row>
    <row r="4" spans="1:11" s="69" customFormat="1" ht="21">
      <c r="A4" s="732" t="s">
        <v>261</v>
      </c>
      <c r="B4" s="732"/>
      <c r="C4" s="732"/>
      <c r="D4" s="732"/>
      <c r="E4" s="732"/>
      <c r="F4" s="732"/>
      <c r="G4" s="729"/>
      <c r="H4" s="549"/>
      <c r="I4" s="550"/>
      <c r="J4" s="201"/>
      <c r="K4" s="182"/>
    </row>
    <row r="5" spans="1:11" s="69" customFormat="1" ht="6.75" customHeight="1">
      <c r="A5" s="205"/>
      <c r="H5" s="549"/>
      <c r="I5" s="550"/>
      <c r="J5" s="201"/>
      <c r="K5" s="182"/>
    </row>
    <row r="6" spans="1:11" s="69" customFormat="1" ht="16.5">
      <c r="A6" s="731" t="str">
        <f>封面!$E$10&amp;封面!$H$10&amp;封面!$I$10&amp;封面!$J$10&amp;封面!$K$10&amp;封面!L10</f>
        <v>中華民國114年9月份</v>
      </c>
      <c r="B6" s="731"/>
      <c r="C6" s="731"/>
      <c r="D6" s="731"/>
      <c r="E6" s="731"/>
      <c r="F6" s="731"/>
      <c r="G6" s="729"/>
      <c r="H6" s="549"/>
      <c r="I6" s="550"/>
      <c r="J6" s="201"/>
      <c r="K6" s="182"/>
    </row>
    <row r="7" spans="1:11" s="69" customFormat="1" ht="14.25" customHeight="1">
      <c r="A7" s="668" t="s">
        <v>39</v>
      </c>
      <c r="B7" s="668"/>
      <c r="C7" s="668"/>
      <c r="D7" s="668"/>
      <c r="E7" s="668"/>
      <c r="F7" s="668"/>
      <c r="G7" s="729"/>
      <c r="H7" s="549"/>
      <c r="I7" s="550"/>
      <c r="J7" s="201"/>
      <c r="K7" s="182"/>
    </row>
    <row r="8" spans="1:11" s="202" customFormat="1" ht="28.5" customHeight="1">
      <c r="A8" s="662" t="s">
        <v>211</v>
      </c>
      <c r="B8" s="662" t="s">
        <v>262</v>
      </c>
      <c r="C8" s="662" t="s">
        <v>263</v>
      </c>
      <c r="D8" s="733" t="s">
        <v>266</v>
      </c>
      <c r="E8" s="734"/>
      <c r="F8" s="670" t="s">
        <v>267</v>
      </c>
      <c r="G8" s="670" t="s">
        <v>268</v>
      </c>
      <c r="H8" s="662" t="s">
        <v>489</v>
      </c>
      <c r="I8" s="662" t="s">
        <v>488</v>
      </c>
    </row>
    <row r="9" spans="1:11" s="203" customFormat="1" ht="28.5" customHeight="1">
      <c r="A9" s="730"/>
      <c r="B9" s="730"/>
      <c r="C9" s="730"/>
      <c r="D9" s="278" t="s">
        <v>264</v>
      </c>
      <c r="E9" s="278" t="s">
        <v>265</v>
      </c>
      <c r="F9" s="727"/>
      <c r="G9" s="727"/>
      <c r="H9" s="726"/>
      <c r="I9" s="726"/>
    </row>
    <row r="10" spans="1:11">
      <c r="A10" s="207" t="s">
        <v>203</v>
      </c>
      <c r="B10" s="239">
        <f t="shared" ref="B10:G10" si="0">SUM(B12:B40)</f>
        <v>515277038</v>
      </c>
      <c r="C10" s="239">
        <f t="shared" si="0"/>
        <v>180782975</v>
      </c>
      <c r="D10" s="279">
        <f t="shared" si="0"/>
        <v>1866678</v>
      </c>
      <c r="E10" s="279">
        <f t="shared" si="0"/>
        <v>2384263</v>
      </c>
      <c r="F10" s="279">
        <f t="shared" si="0"/>
        <v>6810142</v>
      </c>
      <c r="G10" s="552">
        <f t="shared" si="0"/>
        <v>327166336</v>
      </c>
      <c r="H10" s="558"/>
      <c r="I10" s="558"/>
    </row>
    <row r="11" spans="1:11" ht="15.75" hidden="1" customHeight="1">
      <c r="A11" s="208"/>
      <c r="B11" s="240"/>
      <c r="C11" s="240"/>
      <c r="D11" s="280"/>
      <c r="E11" s="280"/>
      <c r="F11" s="280"/>
      <c r="G11" s="553"/>
      <c r="H11" s="559"/>
      <c r="I11" s="559"/>
    </row>
    <row r="12" spans="1:11">
      <c r="A12" s="209" t="s">
        <v>204</v>
      </c>
      <c r="B12" s="240"/>
      <c r="C12" s="240"/>
      <c r="D12" s="280"/>
      <c r="E12" s="280"/>
      <c r="F12" s="280"/>
      <c r="G12" s="553">
        <f>B12-C12+D12-E12-F12</f>
        <v>0</v>
      </c>
      <c r="H12" s="559"/>
      <c r="I12" s="559"/>
    </row>
    <row r="13" spans="1:11" ht="15.75" hidden="1" customHeight="1">
      <c r="A13" s="209"/>
      <c r="B13" s="240"/>
      <c r="C13" s="320"/>
      <c r="D13" s="355"/>
      <c r="E13" s="355"/>
      <c r="F13" s="280"/>
      <c r="G13" s="553">
        <f t="shared" ref="G13:G41" si="1">B13-C13+D13-E13-F13</f>
        <v>0</v>
      </c>
      <c r="H13" s="556"/>
      <c r="I13" s="555"/>
    </row>
    <row r="14" spans="1:11">
      <c r="A14" s="209" t="s">
        <v>205</v>
      </c>
      <c r="B14" s="240">
        <v>169277745</v>
      </c>
      <c r="C14" s="356"/>
      <c r="D14" s="355"/>
      <c r="E14" s="355"/>
      <c r="F14" s="280"/>
      <c r="G14" s="553">
        <f t="shared" si="1"/>
        <v>169277745</v>
      </c>
      <c r="H14" s="556">
        <v>169277745</v>
      </c>
      <c r="I14" s="555">
        <f>G14-H14</f>
        <v>0</v>
      </c>
    </row>
    <row r="15" spans="1:11" ht="15.75" hidden="1" customHeight="1">
      <c r="A15" s="209"/>
      <c r="B15" s="240"/>
      <c r="C15" s="356"/>
      <c r="D15" s="355"/>
      <c r="E15" s="355"/>
      <c r="F15" s="280"/>
      <c r="G15" s="553">
        <f t="shared" si="1"/>
        <v>0</v>
      </c>
      <c r="H15" s="556"/>
      <c r="I15" s="555">
        <f t="shared" ref="I15:I42" si="2">G15-H15</f>
        <v>0</v>
      </c>
    </row>
    <row r="16" spans="1:11">
      <c r="A16" s="209" t="s">
        <v>206</v>
      </c>
      <c r="B16" s="357">
        <v>27169487</v>
      </c>
      <c r="C16" s="358">
        <v>12789502</v>
      </c>
      <c r="D16" s="356"/>
      <c r="E16" s="355"/>
      <c r="F16" s="358">
        <v>1403973</v>
      </c>
      <c r="G16" s="553">
        <f t="shared" si="1"/>
        <v>12976012</v>
      </c>
      <c r="H16" s="556">
        <v>12976012</v>
      </c>
      <c r="I16" s="555">
        <f t="shared" si="2"/>
        <v>0</v>
      </c>
    </row>
    <row r="17" spans="1:9" ht="15.75" hidden="1" customHeight="1">
      <c r="A17" s="209"/>
      <c r="B17" s="356"/>
      <c r="C17" s="356"/>
      <c r="D17" s="356"/>
      <c r="E17" s="355"/>
      <c r="F17" s="358"/>
      <c r="G17" s="553">
        <f t="shared" si="1"/>
        <v>0</v>
      </c>
      <c r="H17" s="556"/>
      <c r="I17" s="555">
        <f t="shared" si="2"/>
        <v>0</v>
      </c>
    </row>
    <row r="18" spans="1:9">
      <c r="A18" s="209" t="s">
        <v>207</v>
      </c>
      <c r="B18" s="357">
        <v>256848064</v>
      </c>
      <c r="C18" s="358">
        <v>127900259</v>
      </c>
      <c r="D18" s="355"/>
      <c r="E18" s="355"/>
      <c r="F18" s="358">
        <v>3425391</v>
      </c>
      <c r="G18" s="553">
        <f t="shared" si="1"/>
        <v>125522414</v>
      </c>
      <c r="H18" s="556">
        <v>125522414</v>
      </c>
      <c r="I18" s="555">
        <f t="shared" si="2"/>
        <v>0</v>
      </c>
    </row>
    <row r="19" spans="1:9" ht="15.75" hidden="1" customHeight="1">
      <c r="A19" s="209"/>
      <c r="B19" s="356"/>
      <c r="C19" s="356"/>
      <c r="D19" s="356"/>
      <c r="E19" s="355"/>
      <c r="F19" s="358"/>
      <c r="G19" s="553">
        <f t="shared" si="1"/>
        <v>0</v>
      </c>
      <c r="H19" s="556"/>
      <c r="I19" s="555">
        <f t="shared" si="2"/>
        <v>0</v>
      </c>
    </row>
    <row r="20" spans="1:9">
      <c r="A20" s="209" t="s">
        <v>208</v>
      </c>
      <c r="B20" s="357">
        <v>16717182</v>
      </c>
      <c r="C20" s="358">
        <v>11495514</v>
      </c>
      <c r="D20" s="358">
        <v>583073</v>
      </c>
      <c r="E20" s="355">
        <v>776610</v>
      </c>
      <c r="F20" s="358">
        <v>773656</v>
      </c>
      <c r="G20" s="553">
        <f t="shared" si="1"/>
        <v>4254475</v>
      </c>
      <c r="H20" s="556">
        <v>4254475</v>
      </c>
      <c r="I20" s="555">
        <f t="shared" si="2"/>
        <v>0</v>
      </c>
    </row>
    <row r="21" spans="1:9" ht="15.75" hidden="1" customHeight="1">
      <c r="A21" s="209"/>
      <c r="B21" s="356"/>
      <c r="C21" s="356"/>
      <c r="D21" s="356"/>
      <c r="E21" s="355"/>
      <c r="F21" s="358"/>
      <c r="G21" s="553">
        <f t="shared" si="1"/>
        <v>0</v>
      </c>
      <c r="H21" s="556"/>
      <c r="I21" s="555">
        <f t="shared" si="2"/>
        <v>0</v>
      </c>
    </row>
    <row r="22" spans="1:9">
      <c r="A22" s="209" t="s">
        <v>209</v>
      </c>
      <c r="B22" s="357">
        <v>4172797</v>
      </c>
      <c r="C22" s="358">
        <v>3069218</v>
      </c>
      <c r="D22" s="358">
        <v>94040</v>
      </c>
      <c r="E22" s="355"/>
      <c r="F22" s="358">
        <v>254362</v>
      </c>
      <c r="G22" s="553">
        <f t="shared" si="1"/>
        <v>943257</v>
      </c>
      <c r="H22" s="556">
        <v>943257</v>
      </c>
      <c r="I22" s="555">
        <f t="shared" si="2"/>
        <v>0</v>
      </c>
    </row>
    <row r="23" spans="1:9" ht="15.75" hidden="1" customHeight="1">
      <c r="A23" s="209"/>
      <c r="B23" s="356"/>
      <c r="C23" s="356"/>
      <c r="D23" s="356"/>
      <c r="E23" s="280"/>
      <c r="F23" s="358"/>
      <c r="G23" s="553">
        <f t="shared" si="1"/>
        <v>0</v>
      </c>
      <c r="H23" s="556"/>
      <c r="I23" s="555">
        <f t="shared" si="2"/>
        <v>0</v>
      </c>
    </row>
    <row r="24" spans="1:9">
      <c r="A24" s="209" t="s">
        <v>210</v>
      </c>
      <c r="B24" s="357">
        <v>40840420</v>
      </c>
      <c r="C24" s="358">
        <v>25528482</v>
      </c>
      <c r="D24" s="358">
        <v>782565</v>
      </c>
      <c r="E24" s="280">
        <v>1533838</v>
      </c>
      <c r="F24" s="358">
        <v>952760</v>
      </c>
      <c r="G24" s="553">
        <f t="shared" si="1"/>
        <v>13607905</v>
      </c>
      <c r="H24" s="556">
        <v>13607905</v>
      </c>
      <c r="I24" s="555">
        <f t="shared" si="2"/>
        <v>0</v>
      </c>
    </row>
    <row r="25" spans="1:9" ht="15.75" hidden="1" customHeight="1">
      <c r="A25" s="209"/>
      <c r="B25" s="240"/>
      <c r="C25" s="240"/>
      <c r="D25" s="280"/>
      <c r="E25" s="280"/>
      <c r="F25" s="280"/>
      <c r="G25" s="553">
        <f t="shared" si="1"/>
        <v>0</v>
      </c>
      <c r="H25" s="556"/>
      <c r="I25" s="555">
        <f t="shared" si="2"/>
        <v>0</v>
      </c>
    </row>
    <row r="26" spans="1:9">
      <c r="A26" s="209" t="s">
        <v>430</v>
      </c>
      <c r="B26" s="240"/>
      <c r="C26" s="240"/>
      <c r="D26" s="280"/>
      <c r="E26" s="280"/>
      <c r="F26" s="280"/>
      <c r="G26" s="553">
        <f t="shared" si="1"/>
        <v>0</v>
      </c>
      <c r="H26" s="559"/>
      <c r="I26" s="560">
        <f t="shared" si="2"/>
        <v>0</v>
      </c>
    </row>
    <row r="27" spans="1:9" ht="15.75" hidden="1" customHeight="1">
      <c r="A27" s="209"/>
      <c r="B27" s="240"/>
      <c r="C27" s="240"/>
      <c r="D27" s="280"/>
      <c r="E27" s="280"/>
      <c r="F27" s="280"/>
      <c r="G27" s="553">
        <f t="shared" si="1"/>
        <v>0</v>
      </c>
      <c r="H27" s="559"/>
      <c r="I27" s="560">
        <f t="shared" si="2"/>
        <v>0</v>
      </c>
    </row>
    <row r="28" spans="1:9">
      <c r="A28" s="209" t="s">
        <v>431</v>
      </c>
      <c r="B28" s="240"/>
      <c r="C28" s="240"/>
      <c r="D28" s="280"/>
      <c r="E28" s="280"/>
      <c r="F28" s="280"/>
      <c r="G28" s="553">
        <f t="shared" si="1"/>
        <v>0</v>
      </c>
      <c r="H28" s="559"/>
      <c r="I28" s="560">
        <f t="shared" si="2"/>
        <v>0</v>
      </c>
    </row>
    <row r="29" spans="1:9" ht="15.75" hidden="1" customHeight="1">
      <c r="A29" s="209"/>
      <c r="B29" s="240"/>
      <c r="C29" s="240"/>
      <c r="D29" s="280"/>
      <c r="E29" s="280"/>
      <c r="F29" s="280"/>
      <c r="G29" s="553">
        <f t="shared" si="1"/>
        <v>0</v>
      </c>
      <c r="H29" s="559"/>
      <c r="I29" s="560">
        <f t="shared" si="2"/>
        <v>0</v>
      </c>
    </row>
    <row r="30" spans="1:9">
      <c r="A30" s="209" t="s">
        <v>432</v>
      </c>
      <c r="B30" s="240"/>
      <c r="C30" s="240"/>
      <c r="D30" s="280"/>
      <c r="E30" s="280"/>
      <c r="F30" s="280"/>
      <c r="G30" s="553">
        <f t="shared" si="1"/>
        <v>0</v>
      </c>
      <c r="H30" s="559"/>
      <c r="I30" s="560">
        <f t="shared" si="2"/>
        <v>0</v>
      </c>
    </row>
    <row r="31" spans="1:9" hidden="1">
      <c r="A31" s="209"/>
      <c r="B31" s="240"/>
      <c r="C31" s="240"/>
      <c r="D31" s="280"/>
      <c r="E31" s="280"/>
      <c r="F31" s="280"/>
      <c r="G31" s="553">
        <f t="shared" si="1"/>
        <v>0</v>
      </c>
      <c r="H31" s="559"/>
      <c r="I31" s="560">
        <f t="shared" si="2"/>
        <v>0</v>
      </c>
    </row>
    <row r="32" spans="1:9">
      <c r="A32" s="209" t="s">
        <v>49</v>
      </c>
      <c r="B32" s="240"/>
      <c r="C32" s="240"/>
      <c r="D32" s="280"/>
      <c r="E32" s="280"/>
      <c r="F32" s="280"/>
      <c r="G32" s="553">
        <f t="shared" si="1"/>
        <v>0</v>
      </c>
      <c r="H32" s="559"/>
      <c r="I32" s="560">
        <f t="shared" si="2"/>
        <v>0</v>
      </c>
    </row>
    <row r="33" spans="1:9" hidden="1">
      <c r="A33" s="209"/>
      <c r="B33" s="240"/>
      <c r="C33" s="240"/>
      <c r="D33" s="280"/>
      <c r="E33" s="280"/>
      <c r="F33" s="280"/>
      <c r="G33" s="553">
        <f t="shared" si="1"/>
        <v>0</v>
      </c>
      <c r="H33" s="559"/>
      <c r="I33" s="560">
        <f t="shared" si="2"/>
        <v>0</v>
      </c>
    </row>
    <row r="34" spans="1:9">
      <c r="A34" s="209" t="s">
        <v>198</v>
      </c>
      <c r="B34" s="240"/>
      <c r="C34" s="240"/>
      <c r="D34" s="280"/>
      <c r="E34" s="280"/>
      <c r="F34" s="280"/>
      <c r="G34" s="553">
        <f t="shared" si="1"/>
        <v>0</v>
      </c>
      <c r="H34" s="559"/>
      <c r="I34" s="560">
        <f t="shared" si="2"/>
        <v>0</v>
      </c>
    </row>
    <row r="35" spans="1:9">
      <c r="A35" s="209" t="s">
        <v>50</v>
      </c>
      <c r="B35" s="240"/>
      <c r="C35" s="240"/>
      <c r="D35" s="280"/>
      <c r="E35" s="280"/>
      <c r="F35" s="280"/>
      <c r="G35" s="553">
        <f t="shared" si="1"/>
        <v>0</v>
      </c>
      <c r="H35" s="559"/>
      <c r="I35" s="560">
        <f t="shared" si="2"/>
        <v>0</v>
      </c>
    </row>
    <row r="36" spans="1:9" hidden="1">
      <c r="A36" s="209"/>
      <c r="B36" s="240"/>
      <c r="C36" s="240"/>
      <c r="D36" s="280"/>
      <c r="E36" s="280"/>
      <c r="F36" s="280"/>
      <c r="G36" s="553">
        <f t="shared" si="1"/>
        <v>0</v>
      </c>
      <c r="H36" s="559"/>
      <c r="I36" s="560">
        <f t="shared" si="2"/>
        <v>0</v>
      </c>
    </row>
    <row r="37" spans="1:9">
      <c r="A37" s="209" t="s">
        <v>433</v>
      </c>
      <c r="B37" s="240">
        <v>251343</v>
      </c>
      <c r="C37" s="240"/>
      <c r="D37" s="280">
        <v>407000</v>
      </c>
      <c r="E37" s="280">
        <v>73815</v>
      </c>
      <c r="F37" s="280"/>
      <c r="G37" s="553">
        <f t="shared" si="1"/>
        <v>584528</v>
      </c>
      <c r="H37" s="559">
        <f>G37</f>
        <v>584528</v>
      </c>
      <c r="I37" s="560">
        <f t="shared" si="2"/>
        <v>0</v>
      </c>
    </row>
    <row r="38" spans="1:9" hidden="1">
      <c r="A38" s="209"/>
      <c r="B38" s="240"/>
      <c r="C38" s="240"/>
      <c r="D38" s="280"/>
      <c r="E38" s="280"/>
      <c r="F38" s="280"/>
      <c r="G38" s="553">
        <f t="shared" si="1"/>
        <v>0</v>
      </c>
      <c r="H38" s="559"/>
      <c r="I38" s="560">
        <f t="shared" si="2"/>
        <v>0</v>
      </c>
    </row>
    <row r="39" spans="1:9">
      <c r="A39" s="209" t="s">
        <v>434</v>
      </c>
      <c r="B39" s="240"/>
      <c r="C39" s="240"/>
      <c r="D39" s="280"/>
      <c r="E39" s="280"/>
      <c r="F39" s="280"/>
      <c r="G39" s="553">
        <f t="shared" si="1"/>
        <v>0</v>
      </c>
      <c r="H39" s="559"/>
      <c r="I39" s="560">
        <f t="shared" si="2"/>
        <v>0</v>
      </c>
    </row>
    <row r="40" spans="1:9" hidden="1">
      <c r="A40" s="209"/>
      <c r="B40" s="240"/>
      <c r="C40" s="240"/>
      <c r="D40" s="280"/>
      <c r="E40" s="280"/>
      <c r="F40" s="280"/>
      <c r="G40" s="553">
        <f t="shared" si="1"/>
        <v>0</v>
      </c>
      <c r="H40" s="559"/>
      <c r="I40" s="560">
        <f t="shared" si="2"/>
        <v>0</v>
      </c>
    </row>
    <row r="41" spans="1:9">
      <c r="A41" s="210" t="s">
        <v>199</v>
      </c>
      <c r="B41" s="241"/>
      <c r="C41" s="241"/>
      <c r="D41" s="281"/>
      <c r="E41" s="281"/>
      <c r="F41" s="281"/>
      <c r="G41" s="554">
        <f t="shared" si="1"/>
        <v>0</v>
      </c>
      <c r="H41" s="559"/>
      <c r="I41" s="560">
        <f t="shared" si="2"/>
        <v>0</v>
      </c>
    </row>
    <row r="42" spans="1:9" ht="16.5">
      <c r="G42" s="557">
        <f>G10-G37</f>
        <v>326581808</v>
      </c>
      <c r="H42" s="556">
        <v>326581808</v>
      </c>
      <c r="I42" s="555">
        <f t="shared" si="2"/>
        <v>0</v>
      </c>
    </row>
  </sheetData>
  <mergeCells count="12">
    <mergeCell ref="H8:H9"/>
    <mergeCell ref="I8:I9"/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A26" sqref="A26:XFD26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8.28515625" style="3" bestFit="1" customWidth="1"/>
    <col min="7" max="11" width="7.5703125" style="3" customWidth="1"/>
    <col min="12" max="12" width="7.42578125" style="3" customWidth="1"/>
    <col min="13" max="13" width="8.7109375" style="3" customWidth="1"/>
    <col min="14" max="14" width="7.42578125" style="3" customWidth="1"/>
    <col min="15" max="15" width="16.140625" style="3" customWidth="1"/>
    <col min="16" max="16" width="16.7109375" style="3" customWidth="1"/>
    <col min="17" max="16384" width="6.85546875" style="3"/>
  </cols>
  <sheetData>
    <row r="1" spans="1:22" ht="19.5">
      <c r="A1" s="715" t="str">
        <f>封面!$A$4</f>
        <v>彰化縣地方教育發展基金－彰化縣彰化市民生國民小學</v>
      </c>
      <c r="B1" s="715"/>
      <c r="C1" s="715"/>
      <c r="D1" s="715"/>
      <c r="E1" s="715"/>
      <c r="F1" s="715"/>
      <c r="G1" s="715"/>
      <c r="H1" s="715"/>
      <c r="I1" s="715"/>
      <c r="J1" s="715"/>
      <c r="K1" s="715"/>
      <c r="L1" s="715"/>
      <c r="M1" s="715"/>
      <c r="N1" s="715"/>
      <c r="O1" s="715"/>
      <c r="P1" s="715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715" t="s">
        <v>426</v>
      </c>
      <c r="B4" s="715"/>
      <c r="C4" s="715"/>
      <c r="D4" s="715"/>
      <c r="E4" s="715"/>
      <c r="F4" s="715"/>
      <c r="G4" s="715"/>
      <c r="H4" s="715"/>
      <c r="I4" s="715"/>
      <c r="J4" s="715"/>
      <c r="K4" s="715"/>
      <c r="L4" s="715"/>
      <c r="M4" s="715"/>
      <c r="N4" s="715"/>
      <c r="O4" s="715"/>
      <c r="P4" s="715"/>
    </row>
    <row r="5" spans="1:22" ht="19.5" customHeight="1">
      <c r="A5" s="716" t="str">
        <f>封面!$E$10&amp;封面!$H$10&amp;封面!$I$10&amp;封面!$J$10&amp;封面!$K$10&amp;封面!L10</f>
        <v>中華民國114年9月份</v>
      </c>
      <c r="B5" s="716"/>
      <c r="C5" s="716"/>
      <c r="D5" s="716"/>
      <c r="E5" s="716"/>
      <c r="F5" s="716"/>
      <c r="G5" s="716"/>
      <c r="H5" s="716"/>
      <c r="I5" s="716"/>
      <c r="J5" s="716"/>
      <c r="K5" s="716"/>
      <c r="L5" s="716"/>
      <c r="M5" s="716"/>
      <c r="N5" s="716"/>
      <c r="O5" s="716"/>
      <c r="P5" s="716"/>
    </row>
    <row r="6" spans="1:22" ht="12.75" hidden="1">
      <c r="A6" s="716"/>
      <c r="B6" s="716"/>
      <c r="C6" s="716"/>
      <c r="D6" s="716"/>
      <c r="E6" s="716"/>
      <c r="F6" s="716"/>
      <c r="G6" s="716"/>
      <c r="H6" s="716"/>
      <c r="I6" s="716"/>
      <c r="J6" s="716"/>
      <c r="K6" s="716"/>
      <c r="L6" s="716"/>
      <c r="M6" s="716"/>
      <c r="N6" s="716"/>
      <c r="O6" s="716"/>
      <c r="P6" s="716"/>
    </row>
    <row r="7" spans="1:22" s="8" customFormat="1" ht="16.5">
      <c r="A7" s="758" t="s">
        <v>1</v>
      </c>
      <c r="B7" s="758"/>
      <c r="C7" s="758"/>
      <c r="D7" s="758"/>
      <c r="E7" s="758"/>
      <c r="F7" s="758"/>
      <c r="G7" s="758"/>
      <c r="H7" s="758"/>
      <c r="I7" s="758"/>
      <c r="J7" s="758"/>
      <c r="K7" s="758"/>
      <c r="L7" s="758"/>
      <c r="M7" s="758"/>
      <c r="N7" s="758"/>
      <c r="O7" s="758"/>
      <c r="P7" s="758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35" t="s">
        <v>428</v>
      </c>
      <c r="B10" s="736"/>
      <c r="C10" s="735" t="s">
        <v>56</v>
      </c>
      <c r="D10" s="741"/>
      <c r="E10" s="741"/>
      <c r="F10" s="741"/>
      <c r="G10" s="742"/>
      <c r="H10" s="751" t="s">
        <v>57</v>
      </c>
      <c r="I10" s="757" t="s">
        <v>55</v>
      </c>
      <c r="J10" s="756"/>
      <c r="K10" s="756"/>
      <c r="L10" s="756"/>
      <c r="M10" s="756"/>
      <c r="N10" s="756"/>
      <c r="O10" s="757" t="s">
        <v>58</v>
      </c>
      <c r="P10" s="751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37"/>
      <c r="B11" s="738"/>
      <c r="C11" s="743"/>
      <c r="D11" s="744"/>
      <c r="E11" s="744"/>
      <c r="F11" s="744"/>
      <c r="G11" s="745"/>
      <c r="H11" s="752"/>
      <c r="I11" s="756"/>
      <c r="J11" s="756"/>
      <c r="K11" s="756"/>
      <c r="L11" s="756"/>
      <c r="M11" s="756"/>
      <c r="N11" s="756"/>
      <c r="O11" s="756"/>
      <c r="P11" s="752"/>
      <c r="Q11" s="5"/>
      <c r="R11" s="5"/>
      <c r="S11" s="5"/>
      <c r="T11" s="5"/>
      <c r="U11" s="5"/>
      <c r="V11" s="5"/>
    </row>
    <row r="12" spans="1:22" s="21" customFormat="1" ht="12.75" customHeight="1">
      <c r="A12" s="737"/>
      <c r="B12" s="738"/>
      <c r="C12" s="743"/>
      <c r="D12" s="744"/>
      <c r="E12" s="744"/>
      <c r="F12" s="744"/>
      <c r="G12" s="745"/>
      <c r="H12" s="752"/>
      <c r="I12" s="756"/>
      <c r="J12" s="756"/>
      <c r="K12" s="756"/>
      <c r="L12" s="756"/>
      <c r="M12" s="756"/>
      <c r="N12" s="756"/>
      <c r="O12" s="756"/>
      <c r="P12" s="752"/>
      <c r="Q12" s="5"/>
      <c r="R12" s="5"/>
      <c r="S12" s="5"/>
      <c r="T12" s="5"/>
      <c r="U12" s="5"/>
      <c r="V12" s="5"/>
    </row>
    <row r="13" spans="1:22" s="5" customFormat="1" ht="12.75" hidden="1" customHeight="1">
      <c r="A13" s="737"/>
      <c r="B13" s="738"/>
      <c r="C13" s="746"/>
      <c r="D13" s="747"/>
      <c r="E13" s="747"/>
      <c r="F13" s="744"/>
      <c r="G13" s="745"/>
      <c r="H13" s="752"/>
      <c r="I13" s="756"/>
      <c r="J13" s="756"/>
      <c r="K13" s="756"/>
      <c r="L13" s="756"/>
      <c r="M13" s="756"/>
      <c r="N13" s="756"/>
      <c r="O13" s="756"/>
      <c r="P13" s="752"/>
    </row>
    <row r="14" spans="1:22" s="5" customFormat="1" ht="12.75" customHeight="1">
      <c r="A14" s="737"/>
      <c r="B14" s="738"/>
      <c r="C14" s="748"/>
      <c r="D14" s="749"/>
      <c r="E14" s="749"/>
      <c r="F14" s="750"/>
      <c r="G14" s="720"/>
      <c r="H14" s="752"/>
      <c r="I14" s="756"/>
      <c r="J14" s="756"/>
      <c r="K14" s="756"/>
      <c r="L14" s="756"/>
      <c r="M14" s="756"/>
      <c r="N14" s="756"/>
      <c r="O14" s="756"/>
      <c r="P14" s="752"/>
    </row>
    <row r="15" spans="1:22" s="5" customFormat="1" ht="12.75" customHeight="1">
      <c r="A15" s="737"/>
      <c r="B15" s="738"/>
      <c r="C15" s="753" t="s">
        <v>301</v>
      </c>
      <c r="D15" s="753" t="s">
        <v>302</v>
      </c>
      <c r="E15" s="753" t="s">
        <v>303</v>
      </c>
      <c r="F15" s="751" t="s">
        <v>60</v>
      </c>
      <c r="G15" s="751" t="s">
        <v>61</v>
      </c>
      <c r="H15" s="752"/>
      <c r="I15" s="757" t="s">
        <v>427</v>
      </c>
      <c r="J15" s="756"/>
      <c r="K15" s="756"/>
      <c r="L15" s="756"/>
      <c r="M15" s="757" t="s">
        <v>12</v>
      </c>
      <c r="N15" s="756"/>
      <c r="O15" s="756"/>
      <c r="P15" s="752"/>
    </row>
    <row r="16" spans="1:22" s="5" customFormat="1" ht="12.75" customHeight="1">
      <c r="A16" s="737"/>
      <c r="B16" s="738"/>
      <c r="C16" s="754"/>
      <c r="D16" s="754"/>
      <c r="E16" s="754"/>
      <c r="F16" s="754"/>
      <c r="G16" s="752"/>
      <c r="H16" s="752"/>
      <c r="I16" s="756"/>
      <c r="J16" s="756"/>
      <c r="K16" s="756"/>
      <c r="L16" s="756"/>
      <c r="M16" s="756"/>
      <c r="N16" s="756"/>
      <c r="O16" s="756"/>
      <c r="P16" s="752"/>
    </row>
    <row r="17" spans="1:16" s="5" customFormat="1" ht="12.75" customHeight="1">
      <c r="A17" s="737"/>
      <c r="B17" s="738"/>
      <c r="C17" s="754"/>
      <c r="D17" s="754"/>
      <c r="E17" s="754"/>
      <c r="F17" s="754"/>
      <c r="G17" s="752"/>
      <c r="H17" s="752"/>
      <c r="I17" s="757" t="s">
        <v>63</v>
      </c>
      <c r="J17" s="759" t="s">
        <v>62</v>
      </c>
      <c r="K17" s="757" t="s">
        <v>64</v>
      </c>
      <c r="L17" s="755" t="s">
        <v>65</v>
      </c>
      <c r="M17" s="757" t="s">
        <v>4</v>
      </c>
      <c r="N17" s="755" t="s">
        <v>65</v>
      </c>
      <c r="O17" s="756"/>
      <c r="P17" s="752"/>
    </row>
    <row r="18" spans="1:16" s="5" customFormat="1" ht="12.75" customHeight="1">
      <c r="A18" s="737"/>
      <c r="B18" s="738"/>
      <c r="C18" s="754"/>
      <c r="D18" s="754"/>
      <c r="E18" s="754"/>
      <c r="F18" s="754"/>
      <c r="G18" s="752"/>
      <c r="H18" s="752"/>
      <c r="I18" s="756"/>
      <c r="J18" s="759"/>
      <c r="K18" s="756"/>
      <c r="L18" s="756"/>
      <c r="M18" s="756"/>
      <c r="N18" s="756"/>
      <c r="O18" s="756"/>
      <c r="P18" s="752"/>
    </row>
    <row r="19" spans="1:16" s="5" customFormat="1" ht="12.75" hidden="1" customHeight="1">
      <c r="A19" s="737"/>
      <c r="B19" s="738"/>
      <c r="C19" s="352"/>
      <c r="D19" s="352"/>
      <c r="E19" s="352"/>
      <c r="F19" s="293"/>
      <c r="G19" s="752"/>
      <c r="H19" s="752"/>
      <c r="I19" s="756"/>
      <c r="J19" s="759"/>
      <c r="K19" s="756"/>
      <c r="L19" s="756"/>
      <c r="M19" s="756"/>
      <c r="N19" s="756"/>
      <c r="O19" s="756"/>
      <c r="P19" s="752"/>
    </row>
    <row r="20" spans="1:16" s="5" customFormat="1" ht="16.5" hidden="1" customHeight="1">
      <c r="A20" s="739"/>
      <c r="B20" s="740"/>
      <c r="C20" s="353"/>
      <c r="D20" s="353"/>
      <c r="E20" s="353"/>
      <c r="F20" s="290"/>
      <c r="G20" s="721"/>
      <c r="H20" s="721"/>
      <c r="I20" s="756"/>
      <c r="J20" s="759"/>
      <c r="K20" s="756"/>
      <c r="L20" s="756"/>
      <c r="M20" s="756"/>
      <c r="N20" s="756"/>
      <c r="O20" s="756"/>
      <c r="P20" s="721"/>
    </row>
    <row r="21" spans="1:16" ht="14.25" customHeight="1">
      <c r="A21" s="83" t="s">
        <v>429</v>
      </c>
      <c r="B21" s="84"/>
      <c r="C21" s="345">
        <f>SUM(C23:C24)</f>
        <v>0</v>
      </c>
      <c r="D21" s="345">
        <f t="shared" ref="D21:J22" si="0">SUM(D23:D24)</f>
        <v>0</v>
      </c>
      <c r="E21" s="345">
        <f t="shared" si="0"/>
        <v>0</v>
      </c>
      <c r="F21" s="346">
        <f t="shared" si="0"/>
        <v>0</v>
      </c>
      <c r="G21" s="346">
        <f>SUM(C21:F21)</f>
        <v>0</v>
      </c>
      <c r="H21" s="346">
        <f t="shared" si="0"/>
        <v>0</v>
      </c>
      <c r="I21" s="346">
        <f t="shared" si="0"/>
        <v>0</v>
      </c>
      <c r="J21" s="346">
        <f t="shared" si="0"/>
        <v>0</v>
      </c>
      <c r="K21" s="346">
        <f>SUM(I21:J21)</f>
        <v>0</v>
      </c>
      <c r="L21" s="477">
        <f t="shared" ref="L21:L31" si="1">IF(K21=0,0,K21/H21)*100</f>
        <v>0</v>
      </c>
      <c r="M21" s="346">
        <f>K21-H21</f>
        <v>0</v>
      </c>
      <c r="N21" s="484">
        <f>IF(M21=0,0,M21/H21)*100</f>
        <v>0</v>
      </c>
      <c r="O21" s="499"/>
      <c r="P21" s="481"/>
    </row>
    <row r="22" spans="1:16" ht="14.25" customHeight="1">
      <c r="A22" s="87" t="s">
        <v>44</v>
      </c>
      <c r="B22" s="86"/>
      <c r="C22" s="347">
        <f>SUM(C24:C25)</f>
        <v>0</v>
      </c>
      <c r="D22" s="347">
        <f t="shared" si="0"/>
        <v>0</v>
      </c>
      <c r="E22" s="347">
        <f t="shared" si="0"/>
        <v>0</v>
      </c>
      <c r="F22" s="348">
        <f t="shared" si="0"/>
        <v>0</v>
      </c>
      <c r="G22" s="348">
        <f>SUM(C22:F22)</f>
        <v>0</v>
      </c>
      <c r="H22" s="348">
        <f t="shared" si="0"/>
        <v>0</v>
      </c>
      <c r="I22" s="348">
        <f t="shared" si="0"/>
        <v>0</v>
      </c>
      <c r="J22" s="348">
        <f t="shared" si="0"/>
        <v>0</v>
      </c>
      <c r="K22" s="348">
        <f>SUM(I22:J22)</f>
        <v>0</v>
      </c>
      <c r="L22" s="478">
        <f t="shared" si="1"/>
        <v>0</v>
      </c>
      <c r="M22" s="348">
        <f t="shared" ref="M22:M41" si="2">K22-H22</f>
        <v>0</v>
      </c>
      <c r="N22" s="485">
        <f t="shared" ref="N22:N41" si="3">IF(M22=0,0,M22/H22)*100</f>
        <v>0</v>
      </c>
      <c r="O22" s="500"/>
      <c r="P22" s="482"/>
    </row>
    <row r="23" spans="1:16">
      <c r="A23" s="85"/>
      <c r="B23" s="86" t="s">
        <v>44</v>
      </c>
      <c r="C23" s="347"/>
      <c r="D23" s="347"/>
      <c r="E23" s="347"/>
      <c r="F23" s="348"/>
      <c r="G23" s="348">
        <f t="shared" ref="G23:G41" si="4">SUM(C23:F23)</f>
        <v>0</v>
      </c>
      <c r="H23" s="348"/>
      <c r="I23" s="348"/>
      <c r="J23" s="348"/>
      <c r="K23" s="348">
        <f t="shared" ref="K23:K41" si="5">SUM(I23:J23)</f>
        <v>0</v>
      </c>
      <c r="L23" s="478">
        <f t="shared" si="1"/>
        <v>0</v>
      </c>
      <c r="M23" s="348">
        <f t="shared" si="2"/>
        <v>0</v>
      </c>
      <c r="N23" s="485">
        <f t="shared" si="3"/>
        <v>0</v>
      </c>
      <c r="O23" s="500"/>
      <c r="P23" s="482"/>
    </row>
    <row r="24" spans="1:16">
      <c r="A24" s="85"/>
      <c r="B24" s="86" t="s">
        <v>49</v>
      </c>
      <c r="C24" s="348"/>
      <c r="D24" s="348"/>
      <c r="E24" s="348"/>
      <c r="F24" s="348"/>
      <c r="G24" s="348">
        <f t="shared" si="4"/>
        <v>0</v>
      </c>
      <c r="H24" s="348"/>
      <c r="I24" s="348"/>
      <c r="J24" s="348"/>
      <c r="K24" s="348">
        <f t="shared" si="5"/>
        <v>0</v>
      </c>
      <c r="L24" s="478">
        <f t="shared" si="1"/>
        <v>0</v>
      </c>
      <c r="M24" s="348">
        <f t="shared" si="2"/>
        <v>0</v>
      </c>
      <c r="N24" s="485">
        <f t="shared" si="3"/>
        <v>0</v>
      </c>
      <c r="O24" s="500"/>
      <c r="P24" s="482"/>
    </row>
    <row r="25" spans="1:16" ht="14.25" customHeight="1">
      <c r="A25" s="87" t="s">
        <v>45</v>
      </c>
      <c r="B25" s="86"/>
      <c r="C25" s="348">
        <f>SUM(C26:C27)</f>
        <v>0</v>
      </c>
      <c r="D25" s="348">
        <f t="shared" ref="D25" si="6">SUM(D26:D27)</f>
        <v>0</v>
      </c>
      <c r="E25" s="348">
        <f t="shared" ref="E25" si="7">SUM(E26:E27)</f>
        <v>0</v>
      </c>
      <c r="F25" s="348">
        <f t="shared" ref="F25" si="8">SUM(F26:F27)</f>
        <v>0</v>
      </c>
      <c r="G25" s="348">
        <f t="shared" si="4"/>
        <v>0</v>
      </c>
      <c r="H25" s="348">
        <f t="shared" ref="H25" si="9">SUM(H26:H27)</f>
        <v>0</v>
      </c>
      <c r="I25" s="348">
        <f t="shared" ref="I25" si="10">SUM(I26:I27)</f>
        <v>0</v>
      </c>
      <c r="J25" s="348">
        <f t="shared" ref="J25" si="11">SUM(J26:J27)</f>
        <v>0</v>
      </c>
      <c r="K25" s="348">
        <f t="shared" si="5"/>
        <v>0</v>
      </c>
      <c r="L25" s="478">
        <f t="shared" si="1"/>
        <v>0</v>
      </c>
      <c r="M25" s="348">
        <f t="shared" si="2"/>
        <v>0</v>
      </c>
      <c r="N25" s="485">
        <f t="shared" si="3"/>
        <v>0</v>
      </c>
      <c r="O25" s="500"/>
      <c r="P25" s="482"/>
    </row>
    <row r="26" spans="1:16">
      <c r="A26" s="85"/>
      <c r="B26" s="86" t="s">
        <v>45</v>
      </c>
      <c r="C26" s="348"/>
      <c r="D26" s="348"/>
      <c r="E26" s="348"/>
      <c r="F26" s="348"/>
      <c r="G26" s="348">
        <f t="shared" si="4"/>
        <v>0</v>
      </c>
      <c r="H26" s="348"/>
      <c r="I26" s="348"/>
      <c r="J26" s="348"/>
      <c r="K26" s="348">
        <f t="shared" si="5"/>
        <v>0</v>
      </c>
      <c r="L26" s="478">
        <f t="shared" si="1"/>
        <v>0</v>
      </c>
      <c r="M26" s="348">
        <f t="shared" si="2"/>
        <v>0</v>
      </c>
      <c r="N26" s="485">
        <f t="shared" si="3"/>
        <v>0</v>
      </c>
      <c r="O26" s="500"/>
      <c r="P26" s="482"/>
    </row>
    <row r="27" spans="1:16">
      <c r="A27" s="85"/>
      <c r="B27" s="86" t="s">
        <v>49</v>
      </c>
      <c r="C27" s="348"/>
      <c r="D27" s="348"/>
      <c r="E27" s="348"/>
      <c r="F27" s="348"/>
      <c r="G27" s="348">
        <f t="shared" si="4"/>
        <v>0</v>
      </c>
      <c r="H27" s="348"/>
      <c r="I27" s="348"/>
      <c r="J27" s="348"/>
      <c r="K27" s="348">
        <f t="shared" si="5"/>
        <v>0</v>
      </c>
      <c r="L27" s="478">
        <f t="shared" si="1"/>
        <v>0</v>
      </c>
      <c r="M27" s="348">
        <f t="shared" si="2"/>
        <v>0</v>
      </c>
      <c r="N27" s="485">
        <f t="shared" si="3"/>
        <v>0</v>
      </c>
      <c r="O27" s="500"/>
      <c r="P27" s="482"/>
    </row>
    <row r="28" spans="1:16" ht="14.25" customHeight="1">
      <c r="A28" s="87" t="s">
        <v>46</v>
      </c>
      <c r="B28" s="86"/>
      <c r="C28" s="348">
        <f>SUM(C29:C30)</f>
        <v>0</v>
      </c>
      <c r="D28" s="348">
        <f t="shared" ref="D28" si="12">SUM(D29:D30)</f>
        <v>0</v>
      </c>
      <c r="E28" s="348">
        <f t="shared" ref="E28" si="13">SUM(E29:E30)</f>
        <v>0</v>
      </c>
      <c r="F28" s="348">
        <f t="shared" ref="F28" si="14">SUM(F29:F30)</f>
        <v>0</v>
      </c>
      <c r="G28" s="348">
        <f t="shared" si="4"/>
        <v>0</v>
      </c>
      <c r="H28" s="348">
        <f t="shared" ref="H28" si="15">SUM(H29:H30)</f>
        <v>0</v>
      </c>
      <c r="I28" s="348">
        <f t="shared" ref="I28" si="16">SUM(I29:I30)</f>
        <v>0</v>
      </c>
      <c r="J28" s="348">
        <f t="shared" ref="J28" si="17">SUM(J29:J30)</f>
        <v>0</v>
      </c>
      <c r="K28" s="348">
        <f t="shared" si="5"/>
        <v>0</v>
      </c>
      <c r="L28" s="478">
        <f t="shared" si="1"/>
        <v>0</v>
      </c>
      <c r="M28" s="348">
        <f t="shared" si="2"/>
        <v>0</v>
      </c>
      <c r="N28" s="485">
        <f t="shared" si="3"/>
        <v>0</v>
      </c>
      <c r="O28" s="500"/>
      <c r="P28" s="482"/>
    </row>
    <row r="29" spans="1:16">
      <c r="A29" s="85"/>
      <c r="B29" s="86" t="s">
        <v>46</v>
      </c>
      <c r="C29" s="348"/>
      <c r="D29" s="348"/>
      <c r="E29" s="348"/>
      <c r="F29" s="348"/>
      <c r="G29" s="348">
        <f t="shared" si="4"/>
        <v>0</v>
      </c>
      <c r="H29" s="348"/>
      <c r="I29" s="348"/>
      <c r="J29" s="348"/>
      <c r="K29" s="348">
        <f t="shared" si="5"/>
        <v>0</v>
      </c>
      <c r="L29" s="478">
        <f t="shared" si="1"/>
        <v>0</v>
      </c>
      <c r="M29" s="348">
        <f t="shared" si="2"/>
        <v>0</v>
      </c>
      <c r="N29" s="485">
        <f t="shared" si="3"/>
        <v>0</v>
      </c>
      <c r="O29" s="500"/>
      <c r="P29" s="482"/>
    </row>
    <row r="30" spans="1:16">
      <c r="A30" s="85"/>
      <c r="B30" s="86" t="s">
        <v>49</v>
      </c>
      <c r="C30" s="348"/>
      <c r="D30" s="348"/>
      <c r="E30" s="348"/>
      <c r="F30" s="348"/>
      <c r="G30" s="348">
        <f t="shared" si="4"/>
        <v>0</v>
      </c>
      <c r="H30" s="348"/>
      <c r="I30" s="348"/>
      <c r="J30" s="348"/>
      <c r="K30" s="348">
        <f t="shared" si="5"/>
        <v>0</v>
      </c>
      <c r="L30" s="478">
        <f t="shared" si="1"/>
        <v>0</v>
      </c>
      <c r="M30" s="348">
        <f t="shared" si="2"/>
        <v>0</v>
      </c>
      <c r="N30" s="485">
        <f t="shared" si="3"/>
        <v>0</v>
      </c>
      <c r="O30" s="500"/>
      <c r="P30" s="482"/>
    </row>
    <row r="31" spans="1:16" ht="14.25" customHeight="1">
      <c r="A31" s="87" t="s">
        <v>47</v>
      </c>
      <c r="B31" s="86"/>
      <c r="C31" s="348">
        <f>SUM(C32:C33)</f>
        <v>0</v>
      </c>
      <c r="D31" s="348">
        <f t="shared" ref="D31" si="18">SUM(D32:D33)</f>
        <v>100000</v>
      </c>
      <c r="E31" s="348">
        <f t="shared" ref="E31" si="19">SUM(E32:E33)</f>
        <v>0</v>
      </c>
      <c r="F31" s="348">
        <f t="shared" ref="F31" si="20">SUM(F32:F33)</f>
        <v>-100000</v>
      </c>
      <c r="G31" s="348">
        <f t="shared" si="4"/>
        <v>0</v>
      </c>
      <c r="H31" s="348">
        <f t="shared" ref="H31" si="21">SUM(H32:H33)</f>
        <v>0</v>
      </c>
      <c r="I31" s="348">
        <f t="shared" ref="I31" si="22">SUM(I32:I33)</f>
        <v>0</v>
      </c>
      <c r="J31" s="348">
        <f t="shared" ref="J31" si="23">SUM(J32:J33)</f>
        <v>0</v>
      </c>
      <c r="K31" s="348">
        <f t="shared" si="5"/>
        <v>0</v>
      </c>
      <c r="L31" s="478">
        <f t="shared" si="1"/>
        <v>0</v>
      </c>
      <c r="M31" s="348">
        <f t="shared" si="2"/>
        <v>0</v>
      </c>
      <c r="N31" s="485">
        <f t="shared" si="3"/>
        <v>0</v>
      </c>
      <c r="O31" s="500"/>
      <c r="P31" s="482"/>
    </row>
    <row r="32" spans="1:16">
      <c r="A32" s="85"/>
      <c r="B32" s="86" t="s">
        <v>47</v>
      </c>
      <c r="C32" s="348"/>
      <c r="D32" s="349">
        <v>100000</v>
      </c>
      <c r="E32" s="348"/>
      <c r="F32" s="349">
        <v>-100000</v>
      </c>
      <c r="G32" s="349">
        <f t="shared" si="4"/>
        <v>0</v>
      </c>
      <c r="H32" s="349"/>
      <c r="I32" s="349"/>
      <c r="J32" s="348"/>
      <c r="K32" s="349">
        <f t="shared" si="5"/>
        <v>0</v>
      </c>
      <c r="L32" s="479">
        <f>IF(K32=0,0,K32/H32)*100</f>
        <v>0</v>
      </c>
      <c r="M32" s="349">
        <f t="shared" si="2"/>
        <v>0</v>
      </c>
      <c r="N32" s="486">
        <f t="shared" si="3"/>
        <v>0</v>
      </c>
      <c r="O32" s="501"/>
      <c r="P32" s="482"/>
    </row>
    <row r="33" spans="1:16" ht="12.75" customHeight="1">
      <c r="A33" s="85"/>
      <c r="B33" s="86" t="s">
        <v>49</v>
      </c>
      <c r="C33" s="348"/>
      <c r="D33" s="349"/>
      <c r="E33" s="348"/>
      <c r="F33" s="349"/>
      <c r="G33" s="349">
        <f t="shared" si="4"/>
        <v>0</v>
      </c>
      <c r="H33" s="349"/>
      <c r="I33" s="349"/>
      <c r="J33" s="348"/>
      <c r="K33" s="349">
        <f t="shared" si="5"/>
        <v>0</v>
      </c>
      <c r="L33" s="479">
        <f t="shared" ref="L33:L41" si="24">IF(K33=0,0,K33/H33)*100</f>
        <v>0</v>
      </c>
      <c r="M33" s="349">
        <f t="shared" si="2"/>
        <v>0</v>
      </c>
      <c r="N33" s="486">
        <f t="shared" si="3"/>
        <v>0</v>
      </c>
      <c r="O33" s="501"/>
      <c r="P33" s="482"/>
    </row>
    <row r="34" spans="1:16" ht="14.25" customHeight="1">
      <c r="A34" s="85" t="s">
        <v>48</v>
      </c>
      <c r="B34" s="86"/>
      <c r="C34" s="348">
        <f>SUM(C35:C36)</f>
        <v>0</v>
      </c>
      <c r="D34" s="348">
        <f t="shared" ref="D34" si="25">SUM(D35:D36)</f>
        <v>0</v>
      </c>
      <c r="E34" s="348">
        <f t="shared" ref="E34" si="26">SUM(E35:E36)</f>
        <v>0</v>
      </c>
      <c r="F34" s="348">
        <f t="shared" ref="F34" si="27">SUM(F35:F36)</f>
        <v>0</v>
      </c>
      <c r="G34" s="348">
        <f t="shared" si="4"/>
        <v>0</v>
      </c>
      <c r="H34" s="348">
        <f t="shared" ref="H34" si="28">SUM(H35:H36)</f>
        <v>0</v>
      </c>
      <c r="I34" s="348">
        <f t="shared" ref="I34" si="29">SUM(I35:I36)</f>
        <v>0</v>
      </c>
      <c r="J34" s="348">
        <f t="shared" ref="J34" si="30">SUM(J35:J36)</f>
        <v>0</v>
      </c>
      <c r="K34" s="348">
        <f t="shared" si="5"/>
        <v>0</v>
      </c>
      <c r="L34" s="478">
        <f t="shared" si="24"/>
        <v>0</v>
      </c>
      <c r="M34" s="348">
        <f t="shared" si="2"/>
        <v>0</v>
      </c>
      <c r="N34" s="485">
        <f t="shared" si="3"/>
        <v>0</v>
      </c>
      <c r="O34" s="500"/>
      <c r="P34" s="482"/>
    </row>
    <row r="35" spans="1:16">
      <c r="A35" s="87"/>
      <c r="B35" s="86" t="s">
        <v>48</v>
      </c>
      <c r="C35" s="348"/>
      <c r="D35" s="348"/>
      <c r="E35" s="348"/>
      <c r="F35" s="348"/>
      <c r="G35" s="348">
        <f t="shared" si="4"/>
        <v>0</v>
      </c>
      <c r="H35" s="348"/>
      <c r="I35" s="348"/>
      <c r="J35" s="348"/>
      <c r="K35" s="348">
        <f t="shared" si="5"/>
        <v>0</v>
      </c>
      <c r="L35" s="478">
        <f t="shared" si="24"/>
        <v>0</v>
      </c>
      <c r="M35" s="348">
        <f t="shared" si="2"/>
        <v>0</v>
      </c>
      <c r="N35" s="485">
        <f t="shared" si="3"/>
        <v>0</v>
      </c>
      <c r="O35" s="502"/>
      <c r="P35" s="482"/>
    </row>
    <row r="36" spans="1:16">
      <c r="A36" s="85"/>
      <c r="B36" s="86" t="s">
        <v>49</v>
      </c>
      <c r="C36" s="348"/>
      <c r="D36" s="348"/>
      <c r="E36" s="348"/>
      <c r="F36" s="348"/>
      <c r="G36" s="348">
        <f t="shared" si="4"/>
        <v>0</v>
      </c>
      <c r="H36" s="348"/>
      <c r="I36" s="348"/>
      <c r="J36" s="348"/>
      <c r="K36" s="348">
        <f t="shared" si="5"/>
        <v>0</v>
      </c>
      <c r="L36" s="478">
        <f t="shared" si="24"/>
        <v>0</v>
      </c>
      <c r="M36" s="348">
        <f t="shared" si="2"/>
        <v>0</v>
      </c>
      <c r="N36" s="485">
        <f t="shared" si="3"/>
        <v>0</v>
      </c>
      <c r="O36" s="500"/>
      <c r="P36" s="482"/>
    </row>
    <row r="37" spans="1:16" ht="14.25" customHeight="1">
      <c r="A37" s="85" t="s">
        <v>210</v>
      </c>
      <c r="B37" s="86"/>
      <c r="C37" s="348">
        <f>SUM(C38:C39)</f>
        <v>0</v>
      </c>
      <c r="D37" s="348">
        <f t="shared" ref="D37" si="31">SUM(D38:D39)</f>
        <v>100000</v>
      </c>
      <c r="E37" s="348">
        <f t="shared" ref="E37" si="32">SUM(E38:E39)</f>
        <v>0</v>
      </c>
      <c r="F37" s="348">
        <f t="shared" ref="F37" si="33">SUM(F38:F39)</f>
        <v>100000</v>
      </c>
      <c r="G37" s="348">
        <f t="shared" si="4"/>
        <v>200000</v>
      </c>
      <c r="H37" s="348">
        <f t="shared" ref="H37" si="34">SUM(H38:H39)</f>
        <v>150000</v>
      </c>
      <c r="I37" s="348">
        <f t="shared" ref="I37" si="35">SUM(I38:I39)</f>
        <v>128248</v>
      </c>
      <c r="J37" s="348">
        <f t="shared" ref="J37" si="36">SUM(J38:J39)</f>
        <v>0</v>
      </c>
      <c r="K37" s="348">
        <f t="shared" si="5"/>
        <v>128248</v>
      </c>
      <c r="L37" s="478">
        <f t="shared" si="24"/>
        <v>85.498666666666665</v>
      </c>
      <c r="M37" s="348">
        <f t="shared" si="2"/>
        <v>-21752</v>
      </c>
      <c r="N37" s="485">
        <f t="shared" si="3"/>
        <v>-14.501333333333333</v>
      </c>
      <c r="O37" s="500"/>
      <c r="P37" s="482"/>
    </row>
    <row r="38" spans="1:16" ht="14.25" customHeight="1">
      <c r="A38" s="87"/>
      <c r="B38" s="86" t="s">
        <v>210</v>
      </c>
      <c r="C38" s="348"/>
      <c r="D38" s="349">
        <v>100000</v>
      </c>
      <c r="E38" s="348"/>
      <c r="F38" s="349">
        <v>100000</v>
      </c>
      <c r="G38" s="349">
        <f t="shared" si="4"/>
        <v>200000</v>
      </c>
      <c r="H38" s="349">
        <v>150000</v>
      </c>
      <c r="I38" s="349">
        <v>128248</v>
      </c>
      <c r="J38" s="348"/>
      <c r="K38" s="349">
        <f t="shared" si="5"/>
        <v>128248</v>
      </c>
      <c r="L38" s="479">
        <f t="shared" si="24"/>
        <v>85.498666666666665</v>
      </c>
      <c r="M38" s="348">
        <f t="shared" si="2"/>
        <v>-21752</v>
      </c>
      <c r="N38" s="485">
        <f t="shared" si="3"/>
        <v>-14.501333333333333</v>
      </c>
      <c r="O38" s="500"/>
      <c r="P38" s="482"/>
    </row>
    <row r="39" spans="1:16">
      <c r="A39" s="85"/>
      <c r="B39" s="86" t="s">
        <v>49</v>
      </c>
      <c r="C39" s="348"/>
      <c r="D39" s="349"/>
      <c r="E39" s="348"/>
      <c r="F39" s="349"/>
      <c r="G39" s="349">
        <f t="shared" si="4"/>
        <v>0</v>
      </c>
      <c r="H39" s="349"/>
      <c r="I39" s="349"/>
      <c r="J39" s="348"/>
      <c r="K39" s="349">
        <f t="shared" si="5"/>
        <v>0</v>
      </c>
      <c r="L39" s="479">
        <f t="shared" si="24"/>
        <v>0</v>
      </c>
      <c r="M39" s="348">
        <f t="shared" si="2"/>
        <v>0</v>
      </c>
      <c r="N39" s="485">
        <f t="shared" si="3"/>
        <v>0</v>
      </c>
      <c r="O39" s="500"/>
      <c r="P39" s="482"/>
    </row>
    <row r="40" spans="1:16" ht="9.75" customHeight="1">
      <c r="A40" s="85"/>
      <c r="B40" s="86"/>
      <c r="C40" s="348"/>
      <c r="D40" s="348"/>
      <c r="E40" s="348"/>
      <c r="F40" s="348"/>
      <c r="G40" s="348">
        <f t="shared" si="4"/>
        <v>0</v>
      </c>
      <c r="H40" s="348"/>
      <c r="I40" s="348"/>
      <c r="J40" s="348"/>
      <c r="K40" s="348">
        <f t="shared" si="5"/>
        <v>0</v>
      </c>
      <c r="L40" s="478">
        <f t="shared" si="24"/>
        <v>0</v>
      </c>
      <c r="M40" s="348">
        <f t="shared" si="2"/>
        <v>0</v>
      </c>
      <c r="N40" s="485">
        <f t="shared" si="3"/>
        <v>0</v>
      </c>
      <c r="O40" s="500"/>
      <c r="P40" s="482"/>
    </row>
    <row r="41" spans="1:16" ht="14.25" customHeight="1">
      <c r="A41" s="91" t="s">
        <v>169</v>
      </c>
      <c r="B41" s="88"/>
      <c r="C41" s="350">
        <f>SUM(C21:C40)/2</f>
        <v>0</v>
      </c>
      <c r="D41" s="350">
        <f t="shared" ref="D41:J41" si="37">SUM(D21:D40)/2</f>
        <v>200000</v>
      </c>
      <c r="E41" s="350">
        <f t="shared" si="37"/>
        <v>0</v>
      </c>
      <c r="F41" s="350">
        <f t="shared" si="37"/>
        <v>0</v>
      </c>
      <c r="G41" s="350">
        <f t="shared" si="4"/>
        <v>200000</v>
      </c>
      <c r="H41" s="350">
        <f t="shared" si="37"/>
        <v>150000</v>
      </c>
      <c r="I41" s="350">
        <f t="shared" si="37"/>
        <v>128248</v>
      </c>
      <c r="J41" s="350">
        <f t="shared" si="37"/>
        <v>0</v>
      </c>
      <c r="K41" s="351">
        <f t="shared" si="5"/>
        <v>128248</v>
      </c>
      <c r="L41" s="480">
        <f t="shared" si="24"/>
        <v>85.498666666666665</v>
      </c>
      <c r="M41" s="350">
        <f t="shared" si="2"/>
        <v>-21752</v>
      </c>
      <c r="N41" s="487">
        <f t="shared" si="3"/>
        <v>-14.501333333333333</v>
      </c>
      <c r="O41" s="503"/>
      <c r="P41" s="483"/>
    </row>
    <row r="42" spans="1:16">
      <c r="P42" s="12"/>
    </row>
  </sheetData>
  <mergeCells count="23"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</mergeCells>
  <phoneticPr fontId="10" type="noConversion"/>
  <printOptions horizontalCentered="1"/>
  <pageMargins left="0.39370078740157483" right="0.39370078740157483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45" activePane="bottomLeft" state="frozen"/>
      <selection activeCell="A26" sqref="A26:XFD26"/>
      <selection pane="bottomLeft" activeCell="A26" sqref="A26:XFD26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61"/>
      <c r="U1" s="761"/>
      <c r="V1" s="761"/>
      <c r="W1" s="761"/>
    </row>
    <row r="2" spans="1:24" ht="24.75" customHeight="1">
      <c r="A2" s="669" t="str">
        <f>封面!$A$4</f>
        <v>彰化縣地方教育發展基金－彰化縣彰化市民生國民小學</v>
      </c>
      <c r="B2" s="622"/>
      <c r="C2" s="622"/>
      <c r="D2" s="622"/>
      <c r="E2" s="622"/>
      <c r="F2" s="622"/>
      <c r="G2" s="622"/>
      <c r="H2" s="622"/>
      <c r="I2" s="622"/>
      <c r="J2" s="622"/>
      <c r="K2" s="622"/>
      <c r="L2" s="622"/>
      <c r="M2" s="622"/>
      <c r="N2" s="622"/>
      <c r="O2" s="622"/>
      <c r="P2" s="622"/>
      <c r="Q2" s="622"/>
      <c r="R2" s="622"/>
      <c r="S2" s="622"/>
      <c r="T2" s="622"/>
      <c r="U2" s="622"/>
      <c r="V2" s="622"/>
      <c r="W2" s="622"/>
    </row>
    <row r="3" spans="1:24" ht="20.25" customHeight="1">
      <c r="A3" s="712" t="s">
        <v>66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</row>
    <row r="4" spans="1:24" ht="20.25" customHeight="1">
      <c r="A4" s="667" t="str">
        <f>封面!$E$10&amp;封面!$H$10&amp;封面!$I$10&amp;封面!$J$10&amp;封面!$K$10&amp;封面!L10</f>
        <v>中華民國114年9月份</v>
      </c>
      <c r="B4" s="667"/>
      <c r="C4" s="667"/>
      <c r="D4" s="667"/>
      <c r="E4" s="667"/>
      <c r="F4" s="667"/>
      <c r="G4" s="667"/>
      <c r="H4" s="667"/>
      <c r="I4" s="667"/>
      <c r="J4" s="667"/>
      <c r="K4" s="667"/>
      <c r="L4" s="667"/>
      <c r="M4" s="667"/>
      <c r="N4" s="667"/>
      <c r="O4" s="667"/>
      <c r="P4" s="667"/>
      <c r="Q4" s="667"/>
      <c r="R4" s="667"/>
      <c r="S4" s="667"/>
      <c r="T4" s="667"/>
      <c r="U4" s="667"/>
      <c r="V4" s="667"/>
      <c r="W4" s="667"/>
    </row>
    <row r="5" spans="1:24" ht="16.5">
      <c r="S5" s="763" t="s">
        <v>1</v>
      </c>
      <c r="T5" s="622"/>
      <c r="U5" s="622"/>
      <c r="V5" s="622"/>
      <c r="W5" s="622"/>
    </row>
    <row r="6" spans="1:24" ht="14.25" hidden="1"/>
    <row r="7" spans="1:24" ht="8.1" customHeight="1">
      <c r="A7" s="717" t="s">
        <v>6</v>
      </c>
      <c r="B7" s="762"/>
      <c r="C7" s="762"/>
      <c r="D7" s="762"/>
      <c r="E7" s="762"/>
      <c r="F7" s="762"/>
      <c r="G7" s="762"/>
      <c r="H7" s="762"/>
      <c r="I7" s="762"/>
      <c r="J7" s="762"/>
      <c r="K7" s="762"/>
      <c r="L7" s="762"/>
      <c r="M7" s="762"/>
      <c r="N7" s="717" t="s">
        <v>68</v>
      </c>
      <c r="O7" s="760"/>
      <c r="P7" s="717" t="s">
        <v>69</v>
      </c>
      <c r="Q7" s="760"/>
      <c r="R7" s="717" t="s">
        <v>67</v>
      </c>
      <c r="S7" s="760"/>
      <c r="T7" s="760"/>
      <c r="U7" s="760"/>
      <c r="V7" s="760"/>
      <c r="W7" s="760"/>
      <c r="X7" s="6"/>
    </row>
    <row r="8" spans="1:24" ht="8.1" customHeight="1">
      <c r="A8" s="762"/>
      <c r="B8" s="762"/>
      <c r="C8" s="762"/>
      <c r="D8" s="762"/>
      <c r="E8" s="762"/>
      <c r="F8" s="762"/>
      <c r="G8" s="762"/>
      <c r="H8" s="762"/>
      <c r="I8" s="762"/>
      <c r="J8" s="762"/>
      <c r="K8" s="762"/>
      <c r="L8" s="762"/>
      <c r="M8" s="762"/>
      <c r="N8" s="760"/>
      <c r="O8" s="760"/>
      <c r="P8" s="760"/>
      <c r="Q8" s="760"/>
      <c r="R8" s="760"/>
      <c r="S8" s="760"/>
      <c r="T8" s="760"/>
      <c r="U8" s="760"/>
      <c r="V8" s="760"/>
      <c r="W8" s="760"/>
      <c r="X8" s="6"/>
    </row>
    <row r="9" spans="1:24" ht="8.1" customHeight="1">
      <c r="A9" s="762"/>
      <c r="B9" s="762"/>
      <c r="C9" s="762"/>
      <c r="D9" s="762"/>
      <c r="E9" s="762"/>
      <c r="F9" s="762"/>
      <c r="G9" s="762"/>
      <c r="H9" s="762"/>
      <c r="I9" s="762"/>
      <c r="J9" s="762"/>
      <c r="K9" s="762"/>
      <c r="L9" s="762"/>
      <c r="M9" s="762"/>
      <c r="N9" s="760"/>
      <c r="O9" s="760"/>
      <c r="P9" s="760"/>
      <c r="Q9" s="760"/>
      <c r="R9" s="717" t="s">
        <v>4</v>
      </c>
      <c r="S9" s="760"/>
      <c r="T9" s="760"/>
      <c r="U9" s="760"/>
      <c r="V9" s="67"/>
      <c r="W9" s="764" t="s">
        <v>150</v>
      </c>
      <c r="X9" s="6"/>
    </row>
    <row r="10" spans="1:24" ht="8.1" customHeight="1">
      <c r="A10" s="762"/>
      <c r="B10" s="762"/>
      <c r="C10" s="762"/>
      <c r="D10" s="762"/>
      <c r="E10" s="762"/>
      <c r="F10" s="762"/>
      <c r="G10" s="762"/>
      <c r="H10" s="762"/>
      <c r="I10" s="762"/>
      <c r="J10" s="762"/>
      <c r="K10" s="762"/>
      <c r="L10" s="762"/>
      <c r="M10" s="762"/>
      <c r="N10" s="760"/>
      <c r="O10" s="760"/>
      <c r="P10" s="760"/>
      <c r="Q10" s="760"/>
      <c r="R10" s="760"/>
      <c r="S10" s="760"/>
      <c r="T10" s="760"/>
      <c r="U10" s="760"/>
      <c r="V10" s="68"/>
      <c r="W10" s="721"/>
      <c r="X10" s="6"/>
    </row>
    <row r="11" spans="1:24" hidden="1">
      <c r="A11" s="762"/>
      <c r="B11" s="762"/>
      <c r="C11" s="762"/>
      <c r="D11" s="762"/>
      <c r="E11" s="762"/>
      <c r="F11" s="762"/>
      <c r="G11" s="762"/>
      <c r="H11" s="762"/>
      <c r="I11" s="762"/>
      <c r="J11" s="762"/>
      <c r="K11" s="762"/>
      <c r="L11" s="762"/>
      <c r="M11" s="762"/>
      <c r="N11" s="760"/>
      <c r="O11" s="760"/>
      <c r="P11" s="760"/>
      <c r="Q11" s="760"/>
      <c r="R11" s="760"/>
      <c r="S11" s="760"/>
      <c r="T11" s="760"/>
      <c r="U11" s="760"/>
      <c r="V11" s="68"/>
      <c r="W11" s="68"/>
      <c r="X11" s="6"/>
    </row>
    <row r="12" spans="1:24" ht="15.75" customHeight="1">
      <c r="A12" s="218"/>
      <c r="B12" s="74" t="s">
        <v>493</v>
      </c>
      <c r="C12" s="74"/>
      <c r="D12" s="74"/>
      <c r="E12" s="74"/>
      <c r="F12" s="74" t="s">
        <v>573</v>
      </c>
      <c r="G12" s="74"/>
      <c r="H12" s="74"/>
      <c r="I12" s="74"/>
      <c r="J12" s="74"/>
      <c r="K12" s="74"/>
      <c r="L12" s="74"/>
      <c r="M12" s="219"/>
      <c r="N12" s="224"/>
      <c r="O12" s="225">
        <v>132814000</v>
      </c>
      <c r="P12" s="226"/>
      <c r="Q12" s="225">
        <v>113077795</v>
      </c>
      <c r="R12" s="226"/>
      <c r="S12" s="225">
        <v>-19736205</v>
      </c>
      <c r="T12" s="225"/>
      <c r="U12" s="225"/>
      <c r="V12" s="226"/>
      <c r="W12" s="225" t="s">
        <v>574</v>
      </c>
      <c r="X12" s="6"/>
    </row>
    <row r="13" spans="1:24" ht="15.75" customHeight="1">
      <c r="A13" s="220"/>
      <c r="B13" s="75"/>
      <c r="C13" s="319" t="s">
        <v>495</v>
      </c>
      <c r="D13" s="319"/>
      <c r="E13" s="319"/>
      <c r="F13" s="75"/>
      <c r="G13" s="75" t="s">
        <v>575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74079373</v>
      </c>
      <c r="R13" s="228"/>
      <c r="S13" s="229">
        <v>74079373</v>
      </c>
      <c r="T13" s="229"/>
      <c r="U13" s="229"/>
      <c r="V13" s="228"/>
      <c r="W13" s="228"/>
      <c r="X13" s="6"/>
    </row>
    <row r="14" spans="1:24" ht="15.75" customHeight="1">
      <c r="A14" s="220"/>
      <c r="B14" s="75"/>
      <c r="C14" s="319"/>
      <c r="D14" s="319" t="s">
        <v>576</v>
      </c>
      <c r="E14" s="319"/>
      <c r="F14" s="75"/>
      <c r="G14" s="75"/>
      <c r="H14" s="75"/>
      <c r="I14" s="75" t="s">
        <v>577</v>
      </c>
      <c r="J14" s="75"/>
      <c r="K14" s="75"/>
      <c r="L14" s="75"/>
      <c r="M14" s="221"/>
      <c r="N14" s="227"/>
      <c r="O14" s="228"/>
      <c r="P14" s="228"/>
      <c r="Q14" s="229">
        <v>73321573</v>
      </c>
      <c r="R14" s="228"/>
      <c r="S14" s="229">
        <v>73321573</v>
      </c>
      <c r="T14" s="229"/>
      <c r="U14" s="229"/>
      <c r="V14" s="228"/>
      <c r="W14" s="228"/>
      <c r="X14" s="6"/>
    </row>
    <row r="15" spans="1:24" ht="15.75" customHeight="1">
      <c r="A15" s="220"/>
      <c r="B15" s="75"/>
      <c r="C15" s="319"/>
      <c r="D15" s="319" t="s">
        <v>578</v>
      </c>
      <c r="E15" s="319"/>
      <c r="F15" s="75"/>
      <c r="G15" s="75"/>
      <c r="H15" s="75"/>
      <c r="I15" s="75" t="s">
        <v>579</v>
      </c>
      <c r="J15" s="75"/>
      <c r="K15" s="75"/>
      <c r="L15" s="75"/>
      <c r="M15" s="221"/>
      <c r="N15" s="227"/>
      <c r="O15" s="228"/>
      <c r="P15" s="228"/>
      <c r="Q15" s="229">
        <v>757800</v>
      </c>
      <c r="R15" s="228"/>
      <c r="S15" s="229">
        <v>757800</v>
      </c>
      <c r="T15" s="229"/>
      <c r="U15" s="229"/>
      <c r="V15" s="228"/>
      <c r="W15" s="228"/>
      <c r="X15" s="6"/>
    </row>
    <row r="16" spans="1:24" ht="15.75" customHeight="1">
      <c r="A16" s="220"/>
      <c r="B16" s="75"/>
      <c r="C16" s="319" t="s">
        <v>511</v>
      </c>
      <c r="D16" s="319"/>
      <c r="E16" s="319"/>
      <c r="F16" s="75"/>
      <c r="G16" s="75" t="s">
        <v>580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1524002</v>
      </c>
      <c r="R16" s="228"/>
      <c r="S16" s="229">
        <v>1524002</v>
      </c>
      <c r="T16" s="229"/>
      <c r="U16" s="229"/>
      <c r="V16" s="228"/>
      <c r="W16" s="228"/>
      <c r="X16" s="6"/>
    </row>
    <row r="17" spans="1:24" ht="15.75" customHeight="1">
      <c r="A17" s="220"/>
      <c r="B17" s="75"/>
      <c r="C17" s="319"/>
      <c r="D17" s="319" t="s">
        <v>581</v>
      </c>
      <c r="E17" s="319"/>
      <c r="F17" s="75"/>
      <c r="G17" s="75"/>
      <c r="H17" s="75"/>
      <c r="I17" s="75" t="s">
        <v>582</v>
      </c>
      <c r="J17" s="75"/>
      <c r="K17" s="75"/>
      <c r="L17" s="75"/>
      <c r="M17" s="221"/>
      <c r="N17" s="227"/>
      <c r="O17" s="228"/>
      <c r="P17" s="228"/>
      <c r="Q17" s="229">
        <v>1524002</v>
      </c>
      <c r="R17" s="228"/>
      <c r="S17" s="229">
        <v>1524002</v>
      </c>
      <c r="T17" s="229"/>
      <c r="U17" s="229"/>
      <c r="V17" s="228"/>
      <c r="W17" s="228"/>
      <c r="X17" s="6"/>
    </row>
    <row r="18" spans="1:24" ht="15.75" customHeight="1">
      <c r="A18" s="220"/>
      <c r="B18" s="75"/>
      <c r="C18" s="319" t="s">
        <v>583</v>
      </c>
      <c r="D18" s="319"/>
      <c r="E18" s="319"/>
      <c r="F18" s="75"/>
      <c r="G18" s="75" t="s">
        <v>584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1103048</v>
      </c>
      <c r="R18" s="228"/>
      <c r="S18" s="229">
        <v>1103048</v>
      </c>
      <c r="T18" s="229"/>
      <c r="U18" s="229"/>
      <c r="V18" s="228"/>
      <c r="W18" s="228"/>
      <c r="X18" s="6"/>
    </row>
    <row r="19" spans="1:24" ht="15.75" customHeight="1">
      <c r="A19" s="220"/>
      <c r="B19" s="75"/>
      <c r="C19" s="319"/>
      <c r="D19" s="319" t="s">
        <v>585</v>
      </c>
      <c r="E19" s="319"/>
      <c r="F19" s="75"/>
      <c r="G19" s="75"/>
      <c r="H19" s="75"/>
      <c r="I19" s="75" t="s">
        <v>586</v>
      </c>
      <c r="J19" s="75"/>
      <c r="K19" s="75"/>
      <c r="L19" s="75"/>
      <c r="M19" s="221"/>
      <c r="N19" s="227"/>
      <c r="O19" s="228"/>
      <c r="P19" s="228"/>
      <c r="Q19" s="229">
        <v>1103048</v>
      </c>
      <c r="R19" s="228"/>
      <c r="S19" s="229">
        <v>1103048</v>
      </c>
      <c r="T19" s="229"/>
      <c r="U19" s="229"/>
      <c r="V19" s="228"/>
      <c r="W19" s="228"/>
      <c r="X19" s="6"/>
    </row>
    <row r="20" spans="1:24" ht="15.75" customHeight="1">
      <c r="A20" s="220"/>
      <c r="B20" s="75"/>
      <c r="C20" s="319" t="s">
        <v>587</v>
      </c>
      <c r="D20" s="319"/>
      <c r="E20" s="319"/>
      <c r="F20" s="75"/>
      <c r="G20" s="75" t="s">
        <v>588</v>
      </c>
      <c r="H20" s="75"/>
      <c r="I20" s="75"/>
      <c r="J20" s="75"/>
      <c r="K20" s="75"/>
      <c r="L20" s="75"/>
      <c r="M20" s="221"/>
      <c r="N20" s="227"/>
      <c r="O20" s="228"/>
      <c r="P20" s="228"/>
      <c r="Q20" s="229">
        <v>22202821</v>
      </c>
      <c r="R20" s="228"/>
      <c r="S20" s="229">
        <v>22202821</v>
      </c>
      <c r="T20" s="229"/>
      <c r="U20" s="229"/>
      <c r="V20" s="228"/>
      <c r="W20" s="228"/>
      <c r="X20" s="6"/>
    </row>
    <row r="21" spans="1:24" ht="15.75" customHeight="1">
      <c r="A21" s="220"/>
      <c r="B21" s="75"/>
      <c r="C21" s="319"/>
      <c r="D21" s="319" t="s">
        <v>589</v>
      </c>
      <c r="E21" s="319"/>
      <c r="F21" s="75"/>
      <c r="G21" s="75"/>
      <c r="H21" s="75"/>
      <c r="I21" s="75" t="s">
        <v>590</v>
      </c>
      <c r="J21" s="75"/>
      <c r="K21" s="75"/>
      <c r="L21" s="75"/>
      <c r="M21" s="221"/>
      <c r="N21" s="227"/>
      <c r="O21" s="228"/>
      <c r="P21" s="228"/>
      <c r="Q21" s="229">
        <v>11685265</v>
      </c>
      <c r="R21" s="228"/>
      <c r="S21" s="229">
        <v>11685265</v>
      </c>
      <c r="T21" s="229"/>
      <c r="U21" s="229"/>
      <c r="V21" s="228"/>
      <c r="W21" s="228"/>
      <c r="X21" s="6"/>
    </row>
    <row r="22" spans="1:24" ht="15.75" customHeight="1">
      <c r="A22" s="220"/>
      <c r="B22" s="75"/>
      <c r="C22" s="319"/>
      <c r="D22" s="319" t="s">
        <v>591</v>
      </c>
      <c r="E22" s="319"/>
      <c r="F22" s="75"/>
      <c r="G22" s="75"/>
      <c r="H22" s="75"/>
      <c r="I22" s="75" t="s">
        <v>592</v>
      </c>
      <c r="J22" s="75"/>
      <c r="K22" s="75"/>
      <c r="L22" s="75"/>
      <c r="M22" s="221"/>
      <c r="N22" s="227"/>
      <c r="O22" s="228"/>
      <c r="P22" s="228"/>
      <c r="Q22" s="229">
        <v>10517556</v>
      </c>
      <c r="R22" s="228"/>
      <c r="S22" s="229">
        <v>10517556</v>
      </c>
      <c r="T22" s="229"/>
      <c r="U22" s="229"/>
      <c r="V22" s="228"/>
      <c r="W22" s="228"/>
      <c r="X22" s="6"/>
    </row>
    <row r="23" spans="1:24" ht="15.75" customHeight="1">
      <c r="A23" s="220"/>
      <c r="B23" s="75"/>
      <c r="C23" s="75" t="s">
        <v>541</v>
      </c>
      <c r="D23" s="75"/>
      <c r="E23" s="75"/>
      <c r="F23" s="75"/>
      <c r="G23" s="75" t="s">
        <v>593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7753123</v>
      </c>
      <c r="R23" s="228"/>
      <c r="S23" s="229">
        <v>7753123</v>
      </c>
      <c r="T23" s="229"/>
      <c r="U23" s="229"/>
      <c r="V23" s="228"/>
      <c r="W23" s="228"/>
      <c r="X23" s="6"/>
    </row>
    <row r="24" spans="1:24" ht="15.75" customHeight="1">
      <c r="A24" s="220"/>
      <c r="B24" s="75"/>
      <c r="C24" s="75"/>
      <c r="D24" s="75" t="s">
        <v>594</v>
      </c>
      <c r="E24" s="75"/>
      <c r="F24" s="75"/>
      <c r="G24" s="75"/>
      <c r="H24" s="75"/>
      <c r="I24" s="75" t="s">
        <v>595</v>
      </c>
      <c r="J24" s="75"/>
      <c r="K24" s="75"/>
      <c r="L24" s="75"/>
      <c r="M24" s="221"/>
      <c r="N24" s="227"/>
      <c r="O24" s="228"/>
      <c r="P24" s="228"/>
      <c r="Q24" s="229">
        <v>7753123</v>
      </c>
      <c r="R24" s="228"/>
      <c r="S24" s="229">
        <v>7753123</v>
      </c>
      <c r="T24" s="229"/>
      <c r="U24" s="229"/>
      <c r="V24" s="228"/>
      <c r="W24" s="228"/>
      <c r="X24" s="6"/>
    </row>
    <row r="25" spans="1:24" ht="15.75" customHeight="1">
      <c r="A25" s="220"/>
      <c r="B25" s="75"/>
      <c r="C25" s="75" t="s">
        <v>596</v>
      </c>
      <c r="D25" s="75"/>
      <c r="E25" s="75"/>
      <c r="F25" s="75"/>
      <c r="G25" s="75" t="s">
        <v>597</v>
      </c>
      <c r="H25" s="75"/>
      <c r="I25" s="75"/>
      <c r="J25" s="75"/>
      <c r="K25" s="75"/>
      <c r="L25" s="75"/>
      <c r="M25" s="221"/>
      <c r="N25" s="227"/>
      <c r="O25" s="228"/>
      <c r="P25" s="228"/>
      <c r="Q25" s="229">
        <v>6415428</v>
      </c>
      <c r="R25" s="228"/>
      <c r="S25" s="229">
        <v>6415428</v>
      </c>
      <c r="T25" s="229"/>
      <c r="U25" s="229"/>
      <c r="V25" s="228"/>
      <c r="W25" s="228"/>
      <c r="X25" s="6"/>
    </row>
    <row r="26" spans="1:24" ht="15.75" customHeight="1">
      <c r="A26" s="220"/>
      <c r="B26" s="75"/>
      <c r="C26" s="75"/>
      <c r="D26" s="75" t="s">
        <v>598</v>
      </c>
      <c r="E26" s="75"/>
      <c r="F26" s="75"/>
      <c r="G26" s="75"/>
      <c r="H26" s="75"/>
      <c r="I26" s="75" t="s">
        <v>599</v>
      </c>
      <c r="J26" s="75"/>
      <c r="K26" s="75"/>
      <c r="L26" s="75"/>
      <c r="M26" s="221"/>
      <c r="N26" s="227"/>
      <c r="O26" s="228"/>
      <c r="P26" s="228"/>
      <c r="Q26" s="229">
        <v>6065028</v>
      </c>
      <c r="R26" s="228"/>
      <c r="S26" s="229">
        <v>6065028</v>
      </c>
      <c r="T26" s="229"/>
      <c r="U26" s="229"/>
      <c r="V26" s="228"/>
      <c r="W26" s="228"/>
      <c r="X26" s="6"/>
    </row>
    <row r="27" spans="1:24" ht="15.75" customHeight="1">
      <c r="A27" s="220"/>
      <c r="B27" s="75"/>
      <c r="C27" s="75"/>
      <c r="D27" s="75" t="s">
        <v>600</v>
      </c>
      <c r="E27" s="75"/>
      <c r="F27" s="75"/>
      <c r="G27" s="75"/>
      <c r="H27" s="75"/>
      <c r="I27" s="75" t="s">
        <v>601</v>
      </c>
      <c r="J27" s="75"/>
      <c r="K27" s="75"/>
      <c r="L27" s="75"/>
      <c r="M27" s="221"/>
      <c r="N27" s="227"/>
      <c r="O27" s="228"/>
      <c r="P27" s="228"/>
      <c r="Q27" s="229">
        <v>350400</v>
      </c>
      <c r="R27" s="228"/>
      <c r="S27" s="229">
        <v>350400</v>
      </c>
      <c r="T27" s="229"/>
      <c r="U27" s="229"/>
      <c r="V27" s="228"/>
      <c r="W27" s="228"/>
      <c r="X27" s="6"/>
    </row>
    <row r="28" spans="1:24" ht="15.75" customHeight="1">
      <c r="A28" s="220"/>
      <c r="B28" s="75" t="s">
        <v>546</v>
      </c>
      <c r="C28" s="75"/>
      <c r="D28" s="75"/>
      <c r="E28" s="75"/>
      <c r="F28" s="75" t="s">
        <v>602</v>
      </c>
      <c r="G28" s="75"/>
      <c r="H28" s="75"/>
      <c r="I28" s="75"/>
      <c r="J28" s="75"/>
      <c r="K28" s="75"/>
      <c r="L28" s="75"/>
      <c r="M28" s="221"/>
      <c r="N28" s="227"/>
      <c r="O28" s="229">
        <v>3546000</v>
      </c>
      <c r="P28" s="228"/>
      <c r="Q28" s="229">
        <v>2577153</v>
      </c>
      <c r="R28" s="228"/>
      <c r="S28" s="229">
        <v>-968847</v>
      </c>
      <c r="T28" s="229"/>
      <c r="U28" s="229"/>
      <c r="V28" s="228"/>
      <c r="W28" s="229" t="s">
        <v>943</v>
      </c>
      <c r="X28" s="6"/>
    </row>
    <row r="29" spans="1:24" ht="15.75" customHeight="1">
      <c r="A29" s="220"/>
      <c r="B29" s="75"/>
      <c r="C29" s="75" t="s">
        <v>548</v>
      </c>
      <c r="D29" s="75"/>
      <c r="E29" s="75"/>
      <c r="F29" s="75"/>
      <c r="G29" s="75" t="s">
        <v>603</v>
      </c>
      <c r="H29" s="75"/>
      <c r="I29" s="75"/>
      <c r="J29" s="75"/>
      <c r="K29" s="75"/>
      <c r="L29" s="75"/>
      <c r="M29" s="221"/>
      <c r="N29" s="227"/>
      <c r="O29" s="228"/>
      <c r="P29" s="228"/>
      <c r="Q29" s="229">
        <v>722858</v>
      </c>
      <c r="R29" s="228"/>
      <c r="S29" s="229">
        <v>722858</v>
      </c>
      <c r="T29" s="229"/>
      <c r="U29" s="229"/>
      <c r="V29" s="228"/>
      <c r="W29" s="228"/>
      <c r="X29" s="6"/>
    </row>
    <row r="30" spans="1:24" ht="15.75" customHeight="1">
      <c r="A30" s="220"/>
      <c r="B30" s="75"/>
      <c r="C30" s="75"/>
      <c r="D30" s="75" t="s">
        <v>604</v>
      </c>
      <c r="E30" s="75"/>
      <c r="F30" s="75"/>
      <c r="G30" s="75"/>
      <c r="H30" s="75"/>
      <c r="I30" s="75" t="s">
        <v>605</v>
      </c>
      <c r="J30" s="75"/>
      <c r="K30" s="75"/>
      <c r="L30" s="75"/>
      <c r="M30" s="221"/>
      <c r="N30" s="227"/>
      <c r="O30" s="228"/>
      <c r="P30" s="228"/>
      <c r="Q30" s="229">
        <v>690451</v>
      </c>
      <c r="R30" s="228"/>
      <c r="S30" s="229">
        <v>690451</v>
      </c>
      <c r="T30" s="229"/>
      <c r="U30" s="229"/>
      <c r="V30" s="228"/>
      <c r="W30" s="228"/>
      <c r="X30" s="6"/>
    </row>
    <row r="31" spans="1:24" ht="15.75" customHeight="1">
      <c r="A31" s="220"/>
      <c r="B31" s="75"/>
      <c r="C31" s="75"/>
      <c r="D31" s="75" t="s">
        <v>606</v>
      </c>
      <c r="E31" s="75"/>
      <c r="F31" s="75"/>
      <c r="G31" s="75"/>
      <c r="H31" s="75"/>
      <c r="I31" s="75" t="s">
        <v>607</v>
      </c>
      <c r="J31" s="75"/>
      <c r="K31" s="75"/>
      <c r="L31" s="75"/>
      <c r="M31" s="221"/>
      <c r="N31" s="227"/>
      <c r="O31" s="228"/>
      <c r="P31" s="228"/>
      <c r="Q31" s="229">
        <v>32407</v>
      </c>
      <c r="R31" s="228"/>
      <c r="S31" s="229">
        <v>32407</v>
      </c>
      <c r="T31" s="229"/>
      <c r="U31" s="229"/>
      <c r="V31" s="228"/>
      <c r="W31" s="228"/>
      <c r="X31" s="6"/>
    </row>
    <row r="32" spans="1:24" ht="15.75" customHeight="1">
      <c r="A32" s="220"/>
      <c r="B32" s="75"/>
      <c r="C32" s="75" t="s">
        <v>608</v>
      </c>
      <c r="D32" s="75"/>
      <c r="E32" s="75"/>
      <c r="F32" s="75"/>
      <c r="G32" s="75" t="s">
        <v>609</v>
      </c>
      <c r="H32" s="75"/>
      <c r="I32" s="75"/>
      <c r="J32" s="75"/>
      <c r="K32" s="75"/>
      <c r="L32" s="75"/>
      <c r="M32" s="221"/>
      <c r="N32" s="227"/>
      <c r="O32" s="228"/>
      <c r="P32" s="228"/>
      <c r="Q32" s="229">
        <v>58659</v>
      </c>
      <c r="R32" s="228"/>
      <c r="S32" s="229">
        <v>58659</v>
      </c>
      <c r="T32" s="229"/>
      <c r="U32" s="229"/>
      <c r="V32" s="228"/>
      <c r="W32" s="228"/>
      <c r="X32" s="6"/>
    </row>
    <row r="33" spans="1:24" ht="15.75" customHeight="1">
      <c r="A33" s="220"/>
      <c r="B33" s="75"/>
      <c r="C33" s="75"/>
      <c r="D33" s="75" t="s">
        <v>610</v>
      </c>
      <c r="E33" s="75"/>
      <c r="F33" s="75"/>
      <c r="G33" s="75"/>
      <c r="H33" s="75"/>
      <c r="I33" s="75" t="s">
        <v>611</v>
      </c>
      <c r="J33" s="75"/>
      <c r="K33" s="75"/>
      <c r="L33" s="75"/>
      <c r="M33" s="221"/>
      <c r="N33" s="227"/>
      <c r="O33" s="228"/>
      <c r="P33" s="228"/>
      <c r="Q33" s="229">
        <v>11875</v>
      </c>
      <c r="R33" s="228"/>
      <c r="S33" s="229">
        <v>11875</v>
      </c>
      <c r="T33" s="229"/>
      <c r="U33" s="229"/>
      <c r="V33" s="228"/>
      <c r="W33" s="228"/>
      <c r="X33" s="6"/>
    </row>
    <row r="34" spans="1:24" ht="15.75" customHeight="1">
      <c r="A34" s="220"/>
      <c r="B34" s="75"/>
      <c r="C34" s="75"/>
      <c r="D34" s="75" t="s">
        <v>612</v>
      </c>
      <c r="E34" s="75"/>
      <c r="F34" s="75"/>
      <c r="G34" s="75"/>
      <c r="H34" s="75"/>
      <c r="I34" s="75" t="s">
        <v>613</v>
      </c>
      <c r="J34" s="75"/>
      <c r="K34" s="75"/>
      <c r="L34" s="75"/>
      <c r="M34" s="221"/>
      <c r="N34" s="227"/>
      <c r="O34" s="228"/>
      <c r="P34" s="228"/>
      <c r="Q34" s="229">
        <v>41087</v>
      </c>
      <c r="R34" s="228"/>
      <c r="S34" s="229">
        <v>41087</v>
      </c>
      <c r="T34" s="229"/>
      <c r="U34" s="229"/>
      <c r="V34" s="228"/>
      <c r="W34" s="228"/>
      <c r="X34" s="6"/>
    </row>
    <row r="35" spans="1:24" ht="15.75" customHeight="1">
      <c r="A35" s="220"/>
      <c r="B35" s="75"/>
      <c r="C35" s="75"/>
      <c r="D35" s="75" t="s">
        <v>614</v>
      </c>
      <c r="E35" s="75"/>
      <c r="F35" s="75"/>
      <c r="G35" s="75"/>
      <c r="H35" s="75"/>
      <c r="I35" s="75" t="s">
        <v>615</v>
      </c>
      <c r="J35" s="75"/>
      <c r="K35" s="75"/>
      <c r="L35" s="75"/>
      <c r="M35" s="221"/>
      <c r="N35" s="227"/>
      <c r="O35" s="228"/>
      <c r="P35" s="228"/>
      <c r="Q35" s="229">
        <v>5697</v>
      </c>
      <c r="R35" s="228"/>
      <c r="S35" s="229">
        <v>5697</v>
      </c>
      <c r="T35" s="229"/>
      <c r="U35" s="229"/>
      <c r="V35" s="228"/>
      <c r="W35" s="228"/>
      <c r="X35" s="6"/>
    </row>
    <row r="36" spans="1:24" ht="15.6" customHeight="1">
      <c r="A36" s="222"/>
      <c r="B36" s="76"/>
      <c r="C36" s="76" t="s">
        <v>616</v>
      </c>
      <c r="D36" s="76"/>
      <c r="E36" s="76"/>
      <c r="F36" s="76"/>
      <c r="G36" s="76" t="s">
        <v>617</v>
      </c>
      <c r="H36" s="76"/>
      <c r="I36" s="76"/>
      <c r="J36" s="76"/>
      <c r="K36" s="76"/>
      <c r="L36" s="76"/>
      <c r="M36" s="223"/>
      <c r="N36" s="230"/>
      <c r="O36" s="231"/>
      <c r="P36" s="231"/>
      <c r="Q36" s="232">
        <v>18813</v>
      </c>
      <c r="R36" s="231"/>
      <c r="S36" s="232">
        <v>18813</v>
      </c>
      <c r="T36" s="232"/>
      <c r="U36" s="232"/>
      <c r="V36" s="231"/>
      <c r="W36" s="231"/>
      <c r="X36" s="6"/>
    </row>
    <row r="37" spans="1:24" ht="15.75" customHeight="1">
      <c r="A37" s="218"/>
      <c r="B37" s="74"/>
      <c r="C37" s="74"/>
      <c r="D37" s="74" t="s">
        <v>618</v>
      </c>
      <c r="E37" s="74"/>
      <c r="F37" s="74"/>
      <c r="G37" s="74"/>
      <c r="H37" s="74"/>
      <c r="I37" s="74" t="s">
        <v>619</v>
      </c>
      <c r="J37" s="74"/>
      <c r="K37" s="74"/>
      <c r="L37" s="74"/>
      <c r="M37" s="219"/>
      <c r="N37" s="224"/>
      <c r="O37" s="226"/>
      <c r="P37" s="226"/>
      <c r="Q37" s="225">
        <v>18813</v>
      </c>
      <c r="R37" s="226"/>
      <c r="S37" s="225">
        <v>18813</v>
      </c>
      <c r="T37" s="225"/>
      <c r="U37" s="225"/>
      <c r="V37" s="226"/>
      <c r="W37" s="226"/>
      <c r="X37" s="6"/>
    </row>
    <row r="38" spans="1:24" ht="15.75" customHeight="1">
      <c r="A38" s="220"/>
      <c r="B38" s="75"/>
      <c r="C38" s="75" t="s">
        <v>620</v>
      </c>
      <c r="D38" s="75"/>
      <c r="E38" s="75"/>
      <c r="F38" s="75"/>
      <c r="G38" s="75" t="s">
        <v>621</v>
      </c>
      <c r="H38" s="75"/>
      <c r="I38" s="75"/>
      <c r="J38" s="75"/>
      <c r="K38" s="75"/>
      <c r="L38" s="75"/>
      <c r="M38" s="221"/>
      <c r="N38" s="227"/>
      <c r="O38" s="228"/>
      <c r="P38" s="228"/>
      <c r="Q38" s="229">
        <v>26600</v>
      </c>
      <c r="R38" s="228"/>
      <c r="S38" s="229">
        <v>26600</v>
      </c>
      <c r="T38" s="229"/>
      <c r="U38" s="229"/>
      <c r="V38" s="228"/>
      <c r="W38" s="228"/>
      <c r="X38" s="6"/>
    </row>
    <row r="39" spans="1:24" ht="15.75" customHeight="1">
      <c r="A39" s="220"/>
      <c r="B39" s="75"/>
      <c r="C39" s="75"/>
      <c r="D39" s="75" t="s">
        <v>622</v>
      </c>
      <c r="E39" s="75"/>
      <c r="F39" s="75"/>
      <c r="G39" s="75"/>
      <c r="H39" s="75"/>
      <c r="I39" s="75" t="s">
        <v>623</v>
      </c>
      <c r="J39" s="75"/>
      <c r="K39" s="75"/>
      <c r="L39" s="75"/>
      <c r="M39" s="221"/>
      <c r="N39" s="227"/>
      <c r="O39" s="228"/>
      <c r="P39" s="228"/>
      <c r="Q39" s="229">
        <v>26600</v>
      </c>
      <c r="R39" s="228"/>
      <c r="S39" s="229">
        <v>26600</v>
      </c>
      <c r="T39" s="229"/>
      <c r="U39" s="229"/>
      <c r="V39" s="228"/>
      <c r="W39" s="228"/>
      <c r="X39" s="6"/>
    </row>
    <row r="40" spans="1:24" ht="15.75" customHeight="1">
      <c r="A40" s="220"/>
      <c r="B40" s="75"/>
      <c r="C40" s="75" t="s">
        <v>624</v>
      </c>
      <c r="D40" s="75"/>
      <c r="E40" s="75"/>
      <c r="F40" s="75"/>
      <c r="G40" s="75" t="s">
        <v>625</v>
      </c>
      <c r="H40" s="75"/>
      <c r="I40" s="75"/>
      <c r="J40" s="75"/>
      <c r="K40" s="75"/>
      <c r="L40" s="75"/>
      <c r="M40" s="221"/>
      <c r="N40" s="227"/>
      <c r="O40" s="228"/>
      <c r="P40" s="228"/>
      <c r="Q40" s="229">
        <v>292053</v>
      </c>
      <c r="R40" s="228"/>
      <c r="S40" s="229">
        <v>292053</v>
      </c>
      <c r="T40" s="229"/>
      <c r="U40" s="229"/>
      <c r="V40" s="228"/>
      <c r="W40" s="228"/>
      <c r="X40" s="6"/>
    </row>
    <row r="41" spans="1:24" ht="15.75" customHeight="1">
      <c r="A41" s="220"/>
      <c r="B41" s="75"/>
      <c r="C41" s="75"/>
      <c r="D41" s="75" t="s">
        <v>626</v>
      </c>
      <c r="E41" s="75"/>
      <c r="F41" s="75"/>
      <c r="G41" s="75"/>
      <c r="H41" s="75"/>
      <c r="I41" s="75" t="s">
        <v>627</v>
      </c>
      <c r="J41" s="75"/>
      <c r="K41" s="75"/>
      <c r="L41" s="75"/>
      <c r="M41" s="221"/>
      <c r="N41" s="227"/>
      <c r="O41" s="228"/>
      <c r="P41" s="228"/>
      <c r="Q41" s="229">
        <v>85943</v>
      </c>
      <c r="R41" s="228"/>
      <c r="S41" s="229">
        <v>85943</v>
      </c>
      <c r="T41" s="229"/>
      <c r="U41" s="229"/>
      <c r="V41" s="228"/>
      <c r="W41" s="228"/>
      <c r="X41" s="6"/>
    </row>
    <row r="42" spans="1:24" ht="15.75" customHeight="1">
      <c r="A42" s="220"/>
      <c r="B42" s="75"/>
      <c r="C42" s="75"/>
      <c r="D42" s="75" t="s">
        <v>628</v>
      </c>
      <c r="E42" s="75"/>
      <c r="F42" s="75"/>
      <c r="G42" s="75"/>
      <c r="H42" s="75"/>
      <c r="I42" s="75" t="s">
        <v>629</v>
      </c>
      <c r="J42" s="75"/>
      <c r="K42" s="75"/>
      <c r="L42" s="75"/>
      <c r="M42" s="221"/>
      <c r="N42" s="227"/>
      <c r="O42" s="228"/>
      <c r="P42" s="228"/>
      <c r="Q42" s="229">
        <v>91942</v>
      </c>
      <c r="R42" s="228"/>
      <c r="S42" s="229">
        <v>91942</v>
      </c>
      <c r="T42" s="229"/>
      <c r="U42" s="229"/>
      <c r="V42" s="228"/>
      <c r="W42" s="228"/>
      <c r="X42" s="6"/>
    </row>
    <row r="43" spans="1:24" ht="15.75" customHeight="1">
      <c r="A43" s="220"/>
      <c r="B43" s="75"/>
      <c r="C43" s="75"/>
      <c r="D43" s="75" t="s">
        <v>630</v>
      </c>
      <c r="E43" s="75"/>
      <c r="F43" s="75"/>
      <c r="G43" s="75"/>
      <c r="H43" s="75"/>
      <c r="I43" s="75" t="s">
        <v>631</v>
      </c>
      <c r="J43" s="75"/>
      <c r="K43" s="75"/>
      <c r="L43" s="75"/>
      <c r="M43" s="221"/>
      <c r="N43" s="227"/>
      <c r="O43" s="228"/>
      <c r="P43" s="228"/>
      <c r="Q43" s="229">
        <v>8178</v>
      </c>
      <c r="R43" s="228"/>
      <c r="S43" s="229">
        <v>8178</v>
      </c>
      <c r="T43" s="229"/>
      <c r="U43" s="229"/>
      <c r="V43" s="228"/>
      <c r="W43" s="228"/>
      <c r="X43" s="6"/>
    </row>
    <row r="44" spans="1:24" ht="15.75" customHeight="1">
      <c r="A44" s="220"/>
      <c r="B44" s="75"/>
      <c r="C44" s="75"/>
      <c r="D44" s="75" t="s">
        <v>632</v>
      </c>
      <c r="E44" s="75"/>
      <c r="F44" s="75"/>
      <c r="G44" s="75"/>
      <c r="H44" s="75"/>
      <c r="I44" s="75" t="s">
        <v>633</v>
      </c>
      <c r="J44" s="75"/>
      <c r="K44" s="75"/>
      <c r="L44" s="75"/>
      <c r="M44" s="221"/>
      <c r="N44" s="227"/>
      <c r="O44" s="228"/>
      <c r="P44" s="228"/>
      <c r="Q44" s="229">
        <v>105990</v>
      </c>
      <c r="R44" s="228"/>
      <c r="S44" s="229">
        <v>105990</v>
      </c>
      <c r="T44" s="229"/>
      <c r="U44" s="229"/>
      <c r="V44" s="228"/>
      <c r="W44" s="228"/>
      <c r="X44" s="6"/>
    </row>
    <row r="45" spans="1:24" ht="15.75" customHeight="1">
      <c r="A45" s="220"/>
      <c r="B45" s="75"/>
      <c r="C45" s="75" t="s">
        <v>634</v>
      </c>
      <c r="D45" s="75"/>
      <c r="E45" s="75"/>
      <c r="F45" s="75"/>
      <c r="G45" s="75" t="s">
        <v>635</v>
      </c>
      <c r="H45" s="75"/>
      <c r="I45" s="75"/>
      <c r="J45" s="75"/>
      <c r="K45" s="75"/>
      <c r="L45" s="75"/>
      <c r="M45" s="221"/>
      <c r="N45" s="227"/>
      <c r="O45" s="228"/>
      <c r="P45" s="228"/>
      <c r="Q45" s="229">
        <v>1090864</v>
      </c>
      <c r="R45" s="228"/>
      <c r="S45" s="229">
        <v>1090864</v>
      </c>
      <c r="T45" s="229"/>
      <c r="U45" s="229"/>
      <c r="V45" s="228"/>
      <c r="W45" s="228"/>
      <c r="X45" s="6"/>
    </row>
    <row r="46" spans="1:24" ht="15.75" customHeight="1">
      <c r="A46" s="220"/>
      <c r="B46" s="75"/>
      <c r="C46" s="75"/>
      <c r="D46" s="75" t="s">
        <v>636</v>
      </c>
      <c r="E46" s="75"/>
      <c r="F46" s="75"/>
      <c r="G46" s="75"/>
      <c r="H46" s="75"/>
      <c r="I46" s="75" t="s">
        <v>637</v>
      </c>
      <c r="J46" s="75"/>
      <c r="K46" s="75"/>
      <c r="L46" s="75"/>
      <c r="M46" s="221"/>
      <c r="N46" s="227"/>
      <c r="O46" s="228"/>
      <c r="P46" s="228"/>
      <c r="Q46" s="229">
        <v>330</v>
      </c>
      <c r="R46" s="228"/>
      <c r="S46" s="229">
        <v>330</v>
      </c>
      <c r="T46" s="229"/>
      <c r="U46" s="229"/>
      <c r="V46" s="228"/>
      <c r="W46" s="228"/>
      <c r="X46" s="6"/>
    </row>
    <row r="47" spans="1:24" ht="15.75" customHeight="1">
      <c r="A47" s="220"/>
      <c r="B47" s="75"/>
      <c r="C47" s="75"/>
      <c r="D47" s="75" t="s">
        <v>638</v>
      </c>
      <c r="E47" s="75"/>
      <c r="F47" s="75"/>
      <c r="G47" s="75"/>
      <c r="H47" s="75"/>
      <c r="I47" s="75" t="s">
        <v>639</v>
      </c>
      <c r="J47" s="75"/>
      <c r="K47" s="75"/>
      <c r="L47" s="75"/>
      <c r="M47" s="221"/>
      <c r="N47" s="227"/>
      <c r="O47" s="228"/>
      <c r="P47" s="228"/>
      <c r="Q47" s="229">
        <v>812534</v>
      </c>
      <c r="R47" s="228"/>
      <c r="S47" s="229">
        <v>812534</v>
      </c>
      <c r="T47" s="229"/>
      <c r="U47" s="229"/>
      <c r="V47" s="228"/>
      <c r="W47" s="228"/>
      <c r="X47" s="6"/>
    </row>
    <row r="48" spans="1:24" ht="15.75" customHeight="1">
      <c r="A48" s="220"/>
      <c r="B48" s="75"/>
      <c r="C48" s="75"/>
      <c r="D48" s="75" t="s">
        <v>640</v>
      </c>
      <c r="E48" s="75"/>
      <c r="F48" s="75"/>
      <c r="G48" s="75"/>
      <c r="H48" s="75"/>
      <c r="I48" s="75" t="s">
        <v>641</v>
      </c>
      <c r="J48" s="75"/>
      <c r="K48" s="75"/>
      <c r="L48" s="75"/>
      <c r="M48" s="221"/>
      <c r="N48" s="227"/>
      <c r="O48" s="228"/>
      <c r="P48" s="228"/>
      <c r="Q48" s="229">
        <v>278000</v>
      </c>
      <c r="R48" s="228"/>
      <c r="S48" s="229">
        <v>278000</v>
      </c>
      <c r="T48" s="229"/>
      <c r="U48" s="229"/>
      <c r="V48" s="228"/>
      <c r="W48" s="228"/>
      <c r="X48" s="6"/>
    </row>
    <row r="49" spans="1:24" ht="15.75" customHeight="1">
      <c r="A49" s="220"/>
      <c r="B49" s="75"/>
      <c r="C49" s="75" t="s">
        <v>556</v>
      </c>
      <c r="D49" s="75"/>
      <c r="E49" s="75"/>
      <c r="F49" s="75"/>
      <c r="G49" s="75" t="s">
        <v>642</v>
      </c>
      <c r="H49" s="75"/>
      <c r="I49" s="75"/>
      <c r="J49" s="75"/>
      <c r="K49" s="75"/>
      <c r="L49" s="75"/>
      <c r="M49" s="221"/>
      <c r="N49" s="227"/>
      <c r="O49" s="228"/>
      <c r="P49" s="228"/>
      <c r="Q49" s="229">
        <v>329332</v>
      </c>
      <c r="R49" s="228"/>
      <c r="S49" s="229">
        <v>329332</v>
      </c>
      <c r="T49" s="229"/>
      <c r="U49" s="229"/>
      <c r="V49" s="228"/>
      <c r="W49" s="228"/>
      <c r="X49" s="6"/>
    </row>
    <row r="50" spans="1:24" ht="15.75" customHeight="1">
      <c r="A50" s="220"/>
      <c r="B50" s="75"/>
      <c r="C50" s="75"/>
      <c r="D50" s="75" t="s">
        <v>643</v>
      </c>
      <c r="E50" s="75"/>
      <c r="F50" s="75"/>
      <c r="G50" s="75"/>
      <c r="H50" s="75"/>
      <c r="I50" s="75" t="s">
        <v>644</v>
      </c>
      <c r="J50" s="75"/>
      <c r="K50" s="75"/>
      <c r="L50" s="75"/>
      <c r="M50" s="221"/>
      <c r="N50" s="227"/>
      <c r="O50" s="228"/>
      <c r="P50" s="228"/>
      <c r="Q50" s="229">
        <v>134140</v>
      </c>
      <c r="R50" s="228"/>
      <c r="S50" s="229">
        <v>134140</v>
      </c>
      <c r="T50" s="229"/>
      <c r="U50" s="229"/>
      <c r="V50" s="228"/>
      <c r="W50" s="228"/>
      <c r="X50" s="6"/>
    </row>
    <row r="51" spans="1:24" ht="15.75" customHeight="1">
      <c r="A51" s="220"/>
      <c r="B51" s="75"/>
      <c r="C51" s="75"/>
      <c r="D51" s="75" t="s">
        <v>645</v>
      </c>
      <c r="E51" s="75"/>
      <c r="F51" s="75"/>
      <c r="G51" s="75"/>
      <c r="H51" s="75"/>
      <c r="I51" s="75" t="s">
        <v>646</v>
      </c>
      <c r="J51" s="75"/>
      <c r="K51" s="75"/>
      <c r="L51" s="75"/>
      <c r="M51" s="221"/>
      <c r="N51" s="227"/>
      <c r="O51" s="228"/>
      <c r="P51" s="228"/>
      <c r="Q51" s="229">
        <v>33800</v>
      </c>
      <c r="R51" s="228"/>
      <c r="S51" s="229">
        <v>33800</v>
      </c>
      <c r="T51" s="229"/>
      <c r="U51" s="229"/>
      <c r="V51" s="228"/>
      <c r="W51" s="228"/>
      <c r="X51" s="6"/>
    </row>
    <row r="52" spans="1:24" ht="15.75" customHeight="1">
      <c r="A52" s="220"/>
      <c r="B52" s="75"/>
      <c r="C52" s="75"/>
      <c r="D52" s="75" t="s">
        <v>647</v>
      </c>
      <c r="E52" s="75"/>
      <c r="F52" s="75"/>
      <c r="G52" s="75"/>
      <c r="H52" s="75"/>
      <c r="I52" s="75" t="s">
        <v>648</v>
      </c>
      <c r="J52" s="75"/>
      <c r="K52" s="75"/>
      <c r="L52" s="75"/>
      <c r="M52" s="221"/>
      <c r="N52" s="227"/>
      <c r="O52" s="228"/>
      <c r="P52" s="228"/>
      <c r="Q52" s="229">
        <v>91800</v>
      </c>
      <c r="R52" s="228"/>
      <c r="S52" s="229">
        <v>91800</v>
      </c>
      <c r="T52" s="229"/>
      <c r="U52" s="229"/>
      <c r="V52" s="228"/>
      <c r="W52" s="228"/>
      <c r="X52" s="6"/>
    </row>
    <row r="53" spans="1:24" ht="15.75" customHeight="1">
      <c r="A53" s="220"/>
      <c r="B53" s="75"/>
      <c r="C53" s="75"/>
      <c r="D53" s="75" t="s">
        <v>649</v>
      </c>
      <c r="E53" s="75"/>
      <c r="F53" s="75"/>
      <c r="G53" s="75"/>
      <c r="H53" s="75"/>
      <c r="I53" s="75" t="s">
        <v>650</v>
      </c>
      <c r="J53" s="75"/>
      <c r="K53" s="75"/>
      <c r="L53" s="75"/>
      <c r="M53" s="221"/>
      <c r="N53" s="227"/>
      <c r="O53" s="229"/>
      <c r="P53" s="228"/>
      <c r="Q53" s="229">
        <v>9000</v>
      </c>
      <c r="R53" s="228"/>
      <c r="S53" s="229">
        <v>9000</v>
      </c>
      <c r="T53" s="229"/>
      <c r="U53" s="229"/>
      <c r="V53" s="228"/>
      <c r="W53" s="229"/>
      <c r="X53" s="6"/>
    </row>
    <row r="54" spans="1:24" ht="15.75" customHeight="1">
      <c r="A54" s="220"/>
      <c r="B54" s="75"/>
      <c r="C54" s="75"/>
      <c r="D54" s="75" t="s">
        <v>651</v>
      </c>
      <c r="E54" s="75"/>
      <c r="F54" s="75"/>
      <c r="G54" s="75"/>
      <c r="H54" s="75"/>
      <c r="I54" s="75" t="s">
        <v>652</v>
      </c>
      <c r="J54" s="75"/>
      <c r="K54" s="75"/>
      <c r="L54" s="75"/>
      <c r="M54" s="221"/>
      <c r="N54" s="227"/>
      <c r="O54" s="228"/>
      <c r="P54" s="228"/>
      <c r="Q54" s="229">
        <v>60592</v>
      </c>
      <c r="R54" s="228"/>
      <c r="S54" s="229">
        <v>60592</v>
      </c>
      <c r="T54" s="229"/>
      <c r="U54" s="229"/>
      <c r="V54" s="228"/>
      <c r="W54" s="228"/>
      <c r="X54" s="6"/>
    </row>
    <row r="55" spans="1:24" ht="15.75" customHeight="1">
      <c r="A55" s="220"/>
      <c r="B55" s="75"/>
      <c r="C55" s="75" t="s">
        <v>653</v>
      </c>
      <c r="D55" s="75"/>
      <c r="E55" s="75"/>
      <c r="F55" s="75"/>
      <c r="G55" s="75" t="s">
        <v>654</v>
      </c>
      <c r="H55" s="75"/>
      <c r="I55" s="75"/>
      <c r="J55" s="75"/>
      <c r="K55" s="75"/>
      <c r="L55" s="75"/>
      <c r="M55" s="221"/>
      <c r="N55" s="227"/>
      <c r="O55" s="228"/>
      <c r="P55" s="228"/>
      <c r="Q55" s="229">
        <v>37974</v>
      </c>
      <c r="R55" s="228"/>
      <c r="S55" s="229">
        <v>37974</v>
      </c>
      <c r="T55" s="229"/>
      <c r="U55" s="229"/>
      <c r="V55" s="228"/>
      <c r="W55" s="228"/>
      <c r="X55" s="6"/>
    </row>
    <row r="56" spans="1:24" ht="15.75" customHeight="1">
      <c r="A56" s="220"/>
      <c r="B56" s="75"/>
      <c r="C56" s="75"/>
      <c r="D56" s="75" t="s">
        <v>655</v>
      </c>
      <c r="E56" s="75"/>
      <c r="F56" s="75"/>
      <c r="G56" s="75"/>
      <c r="H56" s="75"/>
      <c r="I56" s="75" t="s">
        <v>654</v>
      </c>
      <c r="J56" s="75"/>
      <c r="K56" s="75"/>
      <c r="L56" s="75"/>
      <c r="M56" s="221"/>
      <c r="N56" s="227"/>
      <c r="O56" s="228"/>
      <c r="P56" s="228"/>
      <c r="Q56" s="229">
        <v>37974</v>
      </c>
      <c r="R56" s="228"/>
      <c r="S56" s="229">
        <v>37974</v>
      </c>
      <c r="T56" s="229"/>
      <c r="U56" s="229"/>
      <c r="V56" s="228"/>
      <c r="W56" s="228"/>
      <c r="X56" s="6"/>
    </row>
    <row r="57" spans="1:24" ht="15.75" customHeight="1">
      <c r="A57" s="220"/>
      <c r="B57" s="75" t="s">
        <v>564</v>
      </c>
      <c r="C57" s="75"/>
      <c r="D57" s="75"/>
      <c r="E57" s="75"/>
      <c r="F57" s="75" t="s">
        <v>656</v>
      </c>
      <c r="G57" s="75"/>
      <c r="H57" s="75"/>
      <c r="I57" s="75"/>
      <c r="J57" s="75"/>
      <c r="K57" s="75"/>
      <c r="L57" s="75"/>
      <c r="M57" s="221"/>
      <c r="N57" s="227"/>
      <c r="O57" s="228">
        <v>554000</v>
      </c>
      <c r="P57" s="228"/>
      <c r="Q57" s="229">
        <v>314618</v>
      </c>
      <c r="R57" s="228"/>
      <c r="S57" s="229">
        <v>-239382</v>
      </c>
      <c r="T57" s="229"/>
      <c r="U57" s="229"/>
      <c r="V57" s="228"/>
      <c r="W57" s="228" t="s">
        <v>657</v>
      </c>
      <c r="X57" s="6"/>
    </row>
    <row r="58" spans="1:24" ht="15.75" customHeight="1">
      <c r="A58" s="220"/>
      <c r="B58" s="75"/>
      <c r="C58" s="75" t="s">
        <v>658</v>
      </c>
      <c r="D58" s="75"/>
      <c r="E58" s="75"/>
      <c r="F58" s="75"/>
      <c r="G58" s="75" t="s">
        <v>659</v>
      </c>
      <c r="H58" s="75"/>
      <c r="I58" s="75"/>
      <c r="J58" s="75"/>
      <c r="K58" s="75"/>
      <c r="L58" s="75"/>
      <c r="M58" s="221"/>
      <c r="N58" s="227"/>
      <c r="O58" s="228"/>
      <c r="P58" s="228"/>
      <c r="Q58" s="229">
        <v>314618</v>
      </c>
      <c r="R58" s="228"/>
      <c r="S58" s="229">
        <v>314618</v>
      </c>
      <c r="T58" s="229"/>
      <c r="U58" s="229"/>
      <c r="V58" s="228"/>
      <c r="W58" s="228"/>
      <c r="X58" s="6"/>
    </row>
    <row r="59" spans="1:24" ht="15.75" customHeight="1">
      <c r="A59" s="220"/>
      <c r="B59" s="75"/>
      <c r="C59" s="75"/>
      <c r="D59" s="75" t="s">
        <v>660</v>
      </c>
      <c r="E59" s="75"/>
      <c r="F59" s="75"/>
      <c r="G59" s="75"/>
      <c r="H59" s="75"/>
      <c r="I59" s="75" t="s">
        <v>661</v>
      </c>
      <c r="J59" s="75"/>
      <c r="K59" s="75"/>
      <c r="L59" s="75"/>
      <c r="M59" s="221"/>
      <c r="N59" s="227"/>
      <c r="O59" s="228"/>
      <c r="P59" s="228"/>
      <c r="Q59" s="229">
        <v>139366</v>
      </c>
      <c r="R59" s="228"/>
      <c r="S59" s="229">
        <v>139366</v>
      </c>
      <c r="T59" s="229"/>
      <c r="U59" s="229"/>
      <c r="V59" s="228"/>
      <c r="W59" s="228"/>
      <c r="X59" s="6"/>
    </row>
    <row r="60" spans="1:24" ht="15.75" customHeight="1">
      <c r="A60" s="220"/>
      <c r="B60" s="75"/>
      <c r="C60" s="75"/>
      <c r="D60" s="75" t="s">
        <v>662</v>
      </c>
      <c r="E60" s="75"/>
      <c r="F60" s="75"/>
      <c r="G60" s="75"/>
      <c r="H60" s="75"/>
      <c r="I60" s="75" t="s">
        <v>663</v>
      </c>
      <c r="J60" s="75"/>
      <c r="K60" s="75"/>
      <c r="L60" s="75"/>
      <c r="M60" s="221"/>
      <c r="N60" s="227"/>
      <c r="O60" s="228"/>
      <c r="P60" s="228"/>
      <c r="Q60" s="229">
        <v>9000</v>
      </c>
      <c r="R60" s="228"/>
      <c r="S60" s="229">
        <v>9000</v>
      </c>
      <c r="T60" s="229"/>
      <c r="U60" s="229"/>
      <c r="V60" s="228"/>
      <c r="W60" s="228"/>
      <c r="X60" s="6"/>
    </row>
    <row r="61" spans="1:24" ht="15.75" customHeight="1">
      <c r="A61" s="222"/>
      <c r="B61" s="76"/>
      <c r="C61" s="76"/>
      <c r="D61" s="76" t="s">
        <v>664</v>
      </c>
      <c r="E61" s="76"/>
      <c r="F61" s="76"/>
      <c r="G61" s="76"/>
      <c r="H61" s="76"/>
      <c r="I61" s="76" t="s">
        <v>665</v>
      </c>
      <c r="J61" s="76"/>
      <c r="K61" s="76"/>
      <c r="L61" s="76"/>
      <c r="M61" s="223"/>
      <c r="N61" s="230"/>
      <c r="O61" s="231"/>
      <c r="P61" s="231"/>
      <c r="Q61" s="232">
        <v>48479</v>
      </c>
      <c r="R61" s="231"/>
      <c r="S61" s="232">
        <v>48479</v>
      </c>
      <c r="T61" s="232"/>
      <c r="U61" s="232"/>
      <c r="V61" s="231"/>
      <c r="W61" s="231"/>
      <c r="X61" s="6"/>
    </row>
    <row r="62" spans="1:24" ht="15.75" customHeight="1">
      <c r="A62" s="218"/>
      <c r="B62" s="74"/>
      <c r="C62" s="74"/>
      <c r="D62" s="74" t="s">
        <v>666</v>
      </c>
      <c r="E62" s="74"/>
      <c r="F62" s="74"/>
      <c r="G62" s="74"/>
      <c r="H62" s="74"/>
      <c r="I62" s="74" t="s">
        <v>667</v>
      </c>
      <c r="J62" s="74"/>
      <c r="K62" s="74"/>
      <c r="L62" s="74"/>
      <c r="M62" s="219"/>
      <c r="N62" s="224"/>
      <c r="O62" s="225"/>
      <c r="P62" s="226"/>
      <c r="Q62" s="226">
        <v>8930</v>
      </c>
      <c r="R62" s="226"/>
      <c r="S62" s="225">
        <v>8930</v>
      </c>
      <c r="T62" s="225"/>
      <c r="U62" s="225"/>
      <c r="V62" s="226"/>
      <c r="W62" s="225"/>
      <c r="X62" s="6"/>
    </row>
    <row r="63" spans="1:24" ht="15.75" customHeight="1">
      <c r="A63" s="220"/>
      <c r="B63" s="75"/>
      <c r="C63" s="75"/>
      <c r="D63" s="75" t="s">
        <v>668</v>
      </c>
      <c r="E63" s="75"/>
      <c r="F63" s="75"/>
      <c r="G63" s="75"/>
      <c r="H63" s="75"/>
      <c r="I63" s="75" t="s">
        <v>669</v>
      </c>
      <c r="J63" s="75"/>
      <c r="K63" s="75"/>
      <c r="L63" s="75"/>
      <c r="M63" s="221"/>
      <c r="N63" s="227"/>
      <c r="O63" s="229"/>
      <c r="P63" s="228"/>
      <c r="Q63" s="229">
        <v>108843</v>
      </c>
      <c r="R63" s="228"/>
      <c r="S63" s="229">
        <v>108843</v>
      </c>
      <c r="T63" s="229"/>
      <c r="U63" s="229"/>
      <c r="V63" s="228"/>
      <c r="W63" s="229"/>
      <c r="X63" s="6"/>
    </row>
    <row r="64" spans="1:24" ht="15.75" customHeight="1">
      <c r="A64" s="220"/>
      <c r="B64" s="75" t="s">
        <v>670</v>
      </c>
      <c r="C64" s="75"/>
      <c r="D64" s="75"/>
      <c r="E64" s="75"/>
      <c r="F64" s="75" t="s">
        <v>671</v>
      </c>
      <c r="G64" s="75"/>
      <c r="H64" s="75"/>
      <c r="I64" s="75"/>
      <c r="J64" s="75"/>
      <c r="K64" s="75"/>
      <c r="L64" s="75"/>
      <c r="M64" s="221"/>
      <c r="N64" s="227"/>
      <c r="O64" s="229">
        <v>17000</v>
      </c>
      <c r="P64" s="228"/>
      <c r="Q64" s="229">
        <v>8400</v>
      </c>
      <c r="R64" s="228"/>
      <c r="S64" s="229">
        <v>-8600</v>
      </c>
      <c r="T64" s="229"/>
      <c r="U64" s="229"/>
      <c r="V64" s="228"/>
      <c r="W64" s="229" t="s">
        <v>672</v>
      </c>
      <c r="X64" s="6"/>
    </row>
    <row r="65" spans="1:24" ht="15.75" customHeight="1">
      <c r="A65" s="220"/>
      <c r="B65" s="75"/>
      <c r="C65" s="75" t="s">
        <v>673</v>
      </c>
      <c r="D65" s="75"/>
      <c r="E65" s="75"/>
      <c r="F65" s="75"/>
      <c r="G65" s="75" t="s">
        <v>674</v>
      </c>
      <c r="H65" s="75"/>
      <c r="I65" s="75"/>
      <c r="J65" s="75"/>
      <c r="K65" s="75"/>
      <c r="L65" s="75"/>
      <c r="M65" s="221"/>
      <c r="N65" s="227"/>
      <c r="O65" s="229"/>
      <c r="P65" s="228"/>
      <c r="Q65" s="229">
        <v>8400</v>
      </c>
      <c r="R65" s="228"/>
      <c r="S65" s="229">
        <v>8400</v>
      </c>
      <c r="T65" s="229"/>
      <c r="U65" s="229"/>
      <c r="V65" s="228"/>
      <c r="W65" s="229"/>
      <c r="X65" s="6"/>
    </row>
    <row r="66" spans="1:24" ht="15.75" customHeight="1">
      <c r="A66" s="220"/>
      <c r="B66" s="75"/>
      <c r="C66" s="75"/>
      <c r="D66" s="75" t="s">
        <v>675</v>
      </c>
      <c r="E66" s="75"/>
      <c r="F66" s="75"/>
      <c r="G66" s="75"/>
      <c r="H66" s="75"/>
      <c r="I66" s="75" t="s">
        <v>674</v>
      </c>
      <c r="J66" s="75"/>
      <c r="K66" s="75"/>
      <c r="L66" s="75"/>
      <c r="M66" s="221"/>
      <c r="N66" s="227"/>
      <c r="O66" s="229"/>
      <c r="P66" s="228"/>
      <c r="Q66" s="229">
        <v>8400</v>
      </c>
      <c r="R66" s="228"/>
      <c r="S66" s="229">
        <v>8400</v>
      </c>
      <c r="T66" s="229"/>
      <c r="U66" s="229"/>
      <c r="V66" s="228"/>
      <c r="W66" s="229"/>
      <c r="X66" s="6"/>
    </row>
    <row r="67" spans="1:24" ht="15.75" customHeight="1">
      <c r="A67" s="220"/>
      <c r="B67" s="75" t="s">
        <v>676</v>
      </c>
      <c r="C67" s="75"/>
      <c r="D67" s="75"/>
      <c r="E67" s="75"/>
      <c r="F67" s="75" t="s">
        <v>677</v>
      </c>
      <c r="G67" s="75"/>
      <c r="H67" s="75"/>
      <c r="I67" s="75"/>
      <c r="J67" s="75"/>
      <c r="K67" s="75"/>
      <c r="L67" s="75"/>
      <c r="M67" s="221"/>
      <c r="N67" s="227"/>
      <c r="O67" s="229">
        <v>200000</v>
      </c>
      <c r="P67" s="228"/>
      <c r="Q67" s="229">
        <v>128248</v>
      </c>
      <c r="R67" s="228"/>
      <c r="S67" s="229">
        <v>-71752</v>
      </c>
      <c r="T67" s="229"/>
      <c r="U67" s="229"/>
      <c r="V67" s="228"/>
      <c r="W67" s="229" t="s">
        <v>678</v>
      </c>
      <c r="X67" s="6"/>
    </row>
    <row r="68" spans="1:24" ht="15.75" customHeight="1">
      <c r="A68" s="220"/>
      <c r="B68" s="75"/>
      <c r="C68" s="75" t="s">
        <v>679</v>
      </c>
      <c r="D68" s="75"/>
      <c r="E68" s="75"/>
      <c r="F68" s="75"/>
      <c r="G68" s="75" t="s">
        <v>680</v>
      </c>
      <c r="H68" s="75"/>
      <c r="I68" s="75"/>
      <c r="J68" s="75"/>
      <c r="K68" s="75"/>
      <c r="L68" s="75"/>
      <c r="M68" s="221"/>
      <c r="N68" s="227"/>
      <c r="O68" s="228">
        <v>200000</v>
      </c>
      <c r="P68" s="228"/>
      <c r="Q68" s="229">
        <v>128248</v>
      </c>
      <c r="R68" s="228"/>
      <c r="S68" s="229">
        <v>-71752</v>
      </c>
      <c r="T68" s="229"/>
      <c r="U68" s="229"/>
      <c r="V68" s="228"/>
      <c r="W68" s="228" t="s">
        <v>678</v>
      </c>
      <c r="X68" s="6"/>
    </row>
    <row r="69" spans="1:24" ht="15.75" customHeight="1">
      <c r="A69" s="220"/>
      <c r="B69" s="75"/>
      <c r="C69" s="75"/>
      <c r="D69" s="75" t="s">
        <v>681</v>
      </c>
      <c r="E69" s="75"/>
      <c r="F69" s="75"/>
      <c r="G69" s="75"/>
      <c r="H69" s="75"/>
      <c r="I69" s="75" t="s">
        <v>682</v>
      </c>
      <c r="J69" s="75"/>
      <c r="K69" s="75"/>
      <c r="L69" s="75"/>
      <c r="M69" s="221"/>
      <c r="N69" s="227"/>
      <c r="O69" s="228">
        <v>100000</v>
      </c>
      <c r="P69" s="228"/>
      <c r="Q69" s="229"/>
      <c r="R69" s="228"/>
      <c r="S69" s="229">
        <v>-100000</v>
      </c>
      <c r="T69" s="229"/>
      <c r="U69" s="229"/>
      <c r="V69" s="228"/>
      <c r="W69" s="228" t="s">
        <v>683</v>
      </c>
      <c r="X69" s="6"/>
    </row>
    <row r="70" spans="1:24" ht="15.75" customHeight="1">
      <c r="A70" s="220"/>
      <c r="B70" s="75"/>
      <c r="C70" s="75"/>
      <c r="D70" s="75" t="s">
        <v>684</v>
      </c>
      <c r="E70" s="75"/>
      <c r="F70" s="75"/>
      <c r="G70" s="75"/>
      <c r="H70" s="75"/>
      <c r="I70" s="75" t="s">
        <v>685</v>
      </c>
      <c r="J70" s="75"/>
      <c r="K70" s="75"/>
      <c r="L70" s="75"/>
      <c r="M70" s="221"/>
      <c r="N70" s="227"/>
      <c r="O70" s="228">
        <v>100000</v>
      </c>
      <c r="P70" s="228"/>
      <c r="Q70" s="229">
        <v>128248</v>
      </c>
      <c r="R70" s="228"/>
      <c r="S70" s="229">
        <v>28248</v>
      </c>
      <c r="T70" s="229"/>
      <c r="U70" s="229"/>
      <c r="V70" s="228"/>
      <c r="W70" s="228" t="s">
        <v>686</v>
      </c>
      <c r="X70" s="6"/>
    </row>
    <row r="71" spans="1:24" ht="15.75" customHeight="1">
      <c r="A71" s="220"/>
      <c r="B71" s="75" t="s">
        <v>687</v>
      </c>
      <c r="C71" s="75"/>
      <c r="D71" s="75"/>
      <c r="E71" s="75"/>
      <c r="F71" s="75" t="s">
        <v>688</v>
      </c>
      <c r="G71" s="75"/>
      <c r="H71" s="75"/>
      <c r="I71" s="75"/>
      <c r="J71" s="75"/>
      <c r="K71" s="75"/>
      <c r="L71" s="75"/>
      <c r="M71" s="221"/>
      <c r="N71" s="227"/>
      <c r="O71" s="228">
        <v>92000</v>
      </c>
      <c r="P71" s="228"/>
      <c r="Q71" s="229">
        <v>39722</v>
      </c>
      <c r="R71" s="228"/>
      <c r="S71" s="229">
        <v>-52278</v>
      </c>
      <c r="T71" s="229"/>
      <c r="U71" s="229"/>
      <c r="V71" s="228"/>
      <c r="W71" s="228" t="s">
        <v>689</v>
      </c>
      <c r="X71" s="6"/>
    </row>
    <row r="72" spans="1:24" ht="15.75" customHeight="1">
      <c r="A72" s="220"/>
      <c r="B72" s="75"/>
      <c r="C72" s="75" t="s">
        <v>690</v>
      </c>
      <c r="D72" s="75"/>
      <c r="E72" s="75"/>
      <c r="F72" s="75"/>
      <c r="G72" s="75" t="s">
        <v>691</v>
      </c>
      <c r="H72" s="75"/>
      <c r="I72" s="75"/>
      <c r="J72" s="75"/>
      <c r="K72" s="75"/>
      <c r="L72" s="75"/>
      <c r="M72" s="221"/>
      <c r="N72" s="227"/>
      <c r="O72" s="228"/>
      <c r="P72" s="228"/>
      <c r="Q72" s="229">
        <v>2000</v>
      </c>
      <c r="R72" s="228"/>
      <c r="S72" s="229">
        <v>2000</v>
      </c>
      <c r="T72" s="229"/>
      <c r="U72" s="229"/>
      <c r="V72" s="228"/>
      <c r="W72" s="228"/>
      <c r="X72" s="6"/>
    </row>
    <row r="73" spans="1:24" ht="15.75" customHeight="1">
      <c r="A73" s="220"/>
      <c r="B73" s="75"/>
      <c r="C73" s="75"/>
      <c r="D73" s="75" t="s">
        <v>692</v>
      </c>
      <c r="E73" s="75"/>
      <c r="F73" s="75"/>
      <c r="G73" s="75"/>
      <c r="H73" s="75"/>
      <c r="I73" s="75" t="s">
        <v>693</v>
      </c>
      <c r="J73" s="75"/>
      <c r="K73" s="75"/>
      <c r="L73" s="75"/>
      <c r="M73" s="221"/>
      <c r="N73" s="227"/>
      <c r="O73" s="228"/>
      <c r="P73" s="228"/>
      <c r="Q73" s="229">
        <v>2000</v>
      </c>
      <c r="R73" s="228"/>
      <c r="S73" s="229">
        <v>2000</v>
      </c>
      <c r="T73" s="229"/>
      <c r="U73" s="229"/>
      <c r="V73" s="228"/>
      <c r="W73" s="228"/>
      <c r="X73" s="6"/>
    </row>
    <row r="74" spans="1:24" ht="15.75" customHeight="1">
      <c r="A74" s="220"/>
      <c r="B74" s="75"/>
      <c r="C74" s="75" t="s">
        <v>694</v>
      </c>
      <c r="D74" s="75"/>
      <c r="E74" s="75"/>
      <c r="F74" s="75"/>
      <c r="G74" s="75" t="s">
        <v>695</v>
      </c>
      <c r="H74" s="75"/>
      <c r="I74" s="75"/>
      <c r="J74" s="75"/>
      <c r="K74" s="75"/>
      <c r="L74" s="75"/>
      <c r="M74" s="221"/>
      <c r="N74" s="227"/>
      <c r="O74" s="228"/>
      <c r="P74" s="228"/>
      <c r="Q74" s="229">
        <v>20000</v>
      </c>
      <c r="R74" s="228"/>
      <c r="S74" s="229">
        <v>20000</v>
      </c>
      <c r="T74" s="229"/>
      <c r="U74" s="229"/>
      <c r="V74" s="228"/>
      <c r="W74" s="228"/>
      <c r="X74" s="6"/>
    </row>
    <row r="75" spans="1:24" ht="15.75" customHeight="1">
      <c r="A75" s="220"/>
      <c r="B75" s="75"/>
      <c r="C75" s="75"/>
      <c r="D75" s="75" t="s">
        <v>696</v>
      </c>
      <c r="E75" s="75"/>
      <c r="F75" s="75"/>
      <c r="G75" s="75"/>
      <c r="H75" s="75"/>
      <c r="I75" s="75" t="s">
        <v>697</v>
      </c>
      <c r="J75" s="75"/>
      <c r="K75" s="75"/>
      <c r="L75" s="75"/>
      <c r="M75" s="221"/>
      <c r="N75" s="227"/>
      <c r="O75" s="228"/>
      <c r="P75" s="228"/>
      <c r="Q75" s="229">
        <v>20000</v>
      </c>
      <c r="R75" s="228"/>
      <c r="S75" s="229">
        <v>20000</v>
      </c>
      <c r="T75" s="229"/>
      <c r="U75" s="229"/>
      <c r="V75" s="228"/>
      <c r="W75" s="228"/>
      <c r="X75" s="6"/>
    </row>
    <row r="76" spans="1:24" ht="15.75" customHeight="1">
      <c r="A76" s="220"/>
      <c r="B76" s="75"/>
      <c r="C76" s="75" t="s">
        <v>698</v>
      </c>
      <c r="D76" s="75"/>
      <c r="E76" s="75"/>
      <c r="F76" s="75"/>
      <c r="G76" s="75" t="s">
        <v>699</v>
      </c>
      <c r="H76" s="75"/>
      <c r="I76" s="75"/>
      <c r="J76" s="75"/>
      <c r="K76" s="75"/>
      <c r="L76" s="75"/>
      <c r="M76" s="221"/>
      <c r="N76" s="227"/>
      <c r="O76" s="228"/>
      <c r="P76" s="228"/>
      <c r="Q76" s="229">
        <v>17722</v>
      </c>
      <c r="R76" s="228"/>
      <c r="S76" s="229">
        <v>17722</v>
      </c>
      <c r="T76" s="229"/>
      <c r="U76" s="229"/>
      <c r="V76" s="228"/>
      <c r="W76" s="228"/>
      <c r="X76" s="6"/>
    </row>
    <row r="77" spans="1:24" ht="15.75" customHeight="1">
      <c r="A77" s="220"/>
      <c r="B77" s="75"/>
      <c r="C77" s="75"/>
      <c r="D77" s="75" t="s">
        <v>700</v>
      </c>
      <c r="E77" s="75"/>
      <c r="F77" s="75"/>
      <c r="G77" s="75"/>
      <c r="H77" s="75"/>
      <c r="I77" s="75" t="s">
        <v>701</v>
      </c>
      <c r="J77" s="75"/>
      <c r="K77" s="75"/>
      <c r="L77" s="75"/>
      <c r="M77" s="221"/>
      <c r="N77" s="227"/>
      <c r="O77" s="228"/>
      <c r="P77" s="228"/>
      <c r="Q77" s="229">
        <v>17722</v>
      </c>
      <c r="R77" s="228"/>
      <c r="S77" s="229">
        <v>17722</v>
      </c>
      <c r="T77" s="229"/>
      <c r="U77" s="229"/>
      <c r="V77" s="228"/>
      <c r="W77" s="228"/>
      <c r="X77" s="6"/>
    </row>
    <row r="78" spans="1:24" ht="15.75" customHeight="1">
      <c r="A78" s="220"/>
      <c r="B78" s="75" t="s">
        <v>702</v>
      </c>
      <c r="C78" s="75"/>
      <c r="D78" s="75"/>
      <c r="E78" s="75"/>
      <c r="F78" s="75" t="s">
        <v>199</v>
      </c>
      <c r="G78" s="75"/>
      <c r="H78" s="75"/>
      <c r="I78" s="75"/>
      <c r="J78" s="75"/>
      <c r="K78" s="75"/>
      <c r="L78" s="75"/>
      <c r="M78" s="221"/>
      <c r="N78" s="227"/>
      <c r="O78" s="228">
        <v>148000</v>
      </c>
      <c r="P78" s="228"/>
      <c r="Q78" s="229">
        <v>58254</v>
      </c>
      <c r="R78" s="228"/>
      <c r="S78" s="229">
        <v>-89746</v>
      </c>
      <c r="T78" s="229"/>
      <c r="U78" s="229"/>
      <c r="V78" s="228"/>
      <c r="W78" s="228" t="s">
        <v>703</v>
      </c>
      <c r="X78" s="6"/>
    </row>
    <row r="79" spans="1:24" ht="15.75" customHeight="1">
      <c r="A79" s="220"/>
      <c r="B79" s="75"/>
      <c r="C79" s="75" t="s">
        <v>704</v>
      </c>
      <c r="D79" s="75"/>
      <c r="E79" s="75"/>
      <c r="F79" s="75"/>
      <c r="G79" s="75" t="s">
        <v>705</v>
      </c>
      <c r="H79" s="75"/>
      <c r="I79" s="75"/>
      <c r="J79" s="75"/>
      <c r="K79" s="75"/>
      <c r="L79" s="75"/>
      <c r="M79" s="221"/>
      <c r="N79" s="227"/>
      <c r="O79" s="228"/>
      <c r="P79" s="228"/>
      <c r="Q79" s="229">
        <v>58254</v>
      </c>
      <c r="R79" s="228"/>
      <c r="S79" s="229">
        <v>58254</v>
      </c>
      <c r="T79" s="229"/>
      <c r="U79" s="229"/>
      <c r="V79" s="228"/>
      <c r="W79" s="228"/>
      <c r="X79" s="6"/>
    </row>
    <row r="80" spans="1:24" ht="15.75" customHeight="1">
      <c r="A80" s="220"/>
      <c r="B80" s="75"/>
      <c r="C80" s="75"/>
      <c r="D80" s="75" t="s">
        <v>706</v>
      </c>
      <c r="E80" s="75"/>
      <c r="F80" s="75"/>
      <c r="G80" s="75"/>
      <c r="H80" s="75"/>
      <c r="I80" s="75" t="s">
        <v>199</v>
      </c>
      <c r="J80" s="75"/>
      <c r="K80" s="75"/>
      <c r="L80" s="75"/>
      <c r="M80" s="221"/>
      <c r="N80" s="227"/>
      <c r="O80" s="228"/>
      <c r="P80" s="228"/>
      <c r="Q80" s="229">
        <v>58254</v>
      </c>
      <c r="R80" s="228"/>
      <c r="S80" s="229">
        <v>58254</v>
      </c>
      <c r="T80" s="229"/>
      <c r="U80" s="229"/>
      <c r="V80" s="228"/>
      <c r="W80" s="228"/>
      <c r="X80" s="6"/>
    </row>
    <row r="81" spans="1:24" ht="15.75" customHeight="1">
      <c r="A81" s="220"/>
      <c r="B81" s="75"/>
      <c r="C81" s="75"/>
      <c r="D81" s="75" t="s">
        <v>707</v>
      </c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>
        <v>137371000</v>
      </c>
      <c r="P81" s="228"/>
      <c r="Q81" s="229">
        <v>116204190</v>
      </c>
      <c r="R81" s="228"/>
      <c r="S81" s="229">
        <v>-21166810</v>
      </c>
      <c r="T81" s="229"/>
      <c r="U81" s="229"/>
      <c r="V81" s="228"/>
      <c r="W81" s="228" t="s">
        <v>708</v>
      </c>
      <c r="X81" s="6"/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6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6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6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6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6"/>
  <sheetViews>
    <sheetView view="pageBreakPreview" zoomScaleSheetLayoutView="100" workbookViewId="0">
      <selection activeCell="A26" sqref="A26:XFD26"/>
    </sheetView>
  </sheetViews>
  <sheetFormatPr defaultColWidth="9.140625" defaultRowHeight="14.25"/>
  <cols>
    <col min="1" max="1" width="5.42578125" style="380" customWidth="1"/>
    <col min="2" max="2" width="5" style="380" customWidth="1"/>
    <col min="3" max="3" width="21.5703125" style="380" customWidth="1"/>
    <col min="4" max="4" width="3.28515625" style="380" customWidth="1"/>
    <col min="5" max="5" width="14" style="49" customWidth="1"/>
    <col min="6" max="6" width="9.140625" style="380"/>
    <col min="7" max="7" width="10.28515625" style="380" customWidth="1"/>
    <col min="8" max="13" width="9.140625" style="380"/>
    <col min="14" max="15" width="3.42578125" style="380" customWidth="1"/>
    <col min="16" max="16" width="5.5703125" style="380" customWidth="1"/>
    <col min="17" max="16384" width="9.140625" style="380"/>
  </cols>
  <sheetData>
    <row r="1" spans="1:16" ht="25.5">
      <c r="A1" s="770" t="str">
        <f>封面!$A$4</f>
        <v>彰化縣地方教育發展基金－彰化縣彰化市民生國民小學</v>
      </c>
      <c r="B1" s="770"/>
      <c r="C1" s="770"/>
      <c r="D1" s="770"/>
      <c r="E1" s="770"/>
      <c r="F1" s="770"/>
      <c r="G1" s="770"/>
      <c r="H1" s="770"/>
      <c r="I1" s="770"/>
      <c r="J1" s="770"/>
      <c r="K1" s="770"/>
      <c r="L1" s="770"/>
      <c r="M1" s="770"/>
      <c r="N1" s="770"/>
      <c r="O1" s="770"/>
    </row>
    <row r="2" spans="1:16" ht="19.5">
      <c r="A2" s="771" t="s">
        <v>115</v>
      </c>
      <c r="B2" s="771"/>
      <c r="C2" s="771"/>
      <c r="D2" s="771"/>
      <c r="E2" s="771"/>
      <c r="F2" s="771"/>
      <c r="G2" s="771"/>
      <c r="H2" s="771"/>
      <c r="I2" s="771"/>
      <c r="J2" s="771"/>
      <c r="K2" s="771"/>
      <c r="L2" s="771"/>
      <c r="M2" s="771"/>
      <c r="N2" s="771"/>
      <c r="O2" s="771"/>
    </row>
    <row r="3" spans="1:16" ht="15.75">
      <c r="A3" s="772" t="str">
        <f>封面!$E$10&amp;封面!$H$10&amp;封面!$I$10&amp;封面!$J$10&amp;封面!$K$10&amp;封面!L10</f>
        <v>中華民國114年9月份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  <c r="L3" s="772"/>
      <c r="M3" s="772"/>
      <c r="N3" s="772"/>
      <c r="O3" s="772"/>
    </row>
    <row r="4" spans="1:16" s="381" customFormat="1" ht="16.5">
      <c r="A4" s="381" t="s">
        <v>215</v>
      </c>
      <c r="B4" s="769" t="s">
        <v>216</v>
      </c>
      <c r="C4" s="769"/>
      <c r="D4" s="769"/>
      <c r="E4" s="769"/>
      <c r="F4" s="769"/>
      <c r="G4" s="769"/>
      <c r="H4" s="769"/>
      <c r="I4" s="769"/>
      <c r="J4" s="769"/>
      <c r="K4" s="769"/>
      <c r="L4" s="769"/>
      <c r="M4" s="769"/>
      <c r="N4" s="769"/>
      <c r="O4" s="769"/>
      <c r="P4" s="769"/>
    </row>
    <row r="5" spans="1:16" s="381" customFormat="1" ht="16.5">
      <c r="B5" s="381" t="s">
        <v>223</v>
      </c>
      <c r="C5" s="381" t="s">
        <v>416</v>
      </c>
      <c r="D5" s="89" t="s">
        <v>217</v>
      </c>
      <c r="E5" s="50" t="s">
        <v>474</v>
      </c>
    </row>
    <row r="6" spans="1:16" s="381" customFormat="1" ht="16.5">
      <c r="D6" s="565"/>
      <c r="E6" s="50" t="s">
        <v>475</v>
      </c>
      <c r="H6" s="296" t="s">
        <v>483</v>
      </c>
      <c r="I6" s="296"/>
      <c r="J6" s="296"/>
      <c r="K6" s="296"/>
      <c r="L6" s="296"/>
      <c r="M6" s="296"/>
      <c r="N6" s="296"/>
      <c r="O6" s="296"/>
      <c r="P6" s="296"/>
    </row>
    <row r="7" spans="1:16" s="381" customFormat="1" ht="16.5">
      <c r="B7" s="381" t="s">
        <v>226</v>
      </c>
      <c r="C7" s="381" t="s">
        <v>417</v>
      </c>
      <c r="E7" s="50" t="s">
        <v>474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1" customFormat="1" ht="16.5">
      <c r="D8" s="89" t="s">
        <v>217</v>
      </c>
      <c r="E8" s="50" t="s">
        <v>475</v>
      </c>
      <c r="H8" s="184" t="s">
        <v>487</v>
      </c>
      <c r="I8" s="296"/>
      <c r="J8" s="296"/>
      <c r="K8" s="296"/>
      <c r="L8" s="296"/>
      <c r="M8" s="296"/>
      <c r="N8" s="296"/>
      <c r="O8" s="296"/>
      <c r="P8" s="296"/>
    </row>
    <row r="9" spans="1:16" s="381" customFormat="1" ht="16.5">
      <c r="B9" s="381" t="s">
        <v>277</v>
      </c>
      <c r="C9" s="381" t="s">
        <v>218</v>
      </c>
      <c r="D9" s="89" t="s">
        <v>217</v>
      </c>
      <c r="E9" s="50" t="s">
        <v>474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1" customFormat="1" ht="16.5">
      <c r="D10" s="509"/>
      <c r="E10" s="50" t="s">
        <v>475</v>
      </c>
      <c r="H10" s="510" t="s">
        <v>467</v>
      </c>
      <c r="I10" s="296"/>
      <c r="J10" s="296"/>
      <c r="K10" s="296"/>
      <c r="L10" s="296"/>
      <c r="M10" s="296"/>
      <c r="N10" s="296"/>
      <c r="O10" s="296"/>
      <c r="P10" s="296"/>
    </row>
    <row r="11" spans="1:16" s="381" customFormat="1" ht="16.5">
      <c r="B11" s="381" t="s">
        <v>278</v>
      </c>
      <c r="C11" s="381" t="s">
        <v>219</v>
      </c>
      <c r="D11" s="89" t="s">
        <v>217</v>
      </c>
      <c r="E11" s="50" t="s">
        <v>474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1" customFormat="1" ht="16.5">
      <c r="E12" s="50" t="s">
        <v>475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1" customFormat="1" ht="16.5" hidden="1">
      <c r="B13" s="381" t="s">
        <v>279</v>
      </c>
      <c r="C13" s="382" t="s">
        <v>471</v>
      </c>
      <c r="D13" s="89" t="s">
        <v>217</v>
      </c>
      <c r="E13" s="392" t="s">
        <v>474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1" customFormat="1" ht="16.5" hidden="1" customHeight="1">
      <c r="C14" s="382"/>
      <c r="D14" s="509"/>
      <c r="E14" s="393" t="s">
        <v>475</v>
      </c>
      <c r="H14" s="184" t="s">
        <v>472</v>
      </c>
      <c r="I14" s="296"/>
      <c r="J14" s="296"/>
      <c r="K14" s="296"/>
      <c r="L14" s="296"/>
      <c r="M14" s="296"/>
      <c r="N14" s="296"/>
      <c r="O14" s="296"/>
      <c r="P14" s="296"/>
    </row>
    <row r="15" spans="1:16" s="519" customFormat="1" ht="16.5" customHeight="1">
      <c r="B15" s="519" t="s">
        <v>279</v>
      </c>
      <c r="C15" s="382" t="s">
        <v>471</v>
      </c>
      <c r="E15" s="392" t="s">
        <v>474</v>
      </c>
      <c r="H15" s="773" t="s">
        <v>484</v>
      </c>
      <c r="I15" s="773"/>
      <c r="J15" s="773"/>
      <c r="K15" s="773"/>
      <c r="L15" s="773"/>
      <c r="M15" s="773"/>
      <c r="N15" s="773"/>
      <c r="O15" s="773"/>
      <c r="P15" s="773"/>
    </row>
    <row r="16" spans="1:16" s="519" customFormat="1" ht="16.5" customHeight="1">
      <c r="C16" s="382"/>
      <c r="D16" s="89" t="s">
        <v>217</v>
      </c>
      <c r="E16" s="393" t="s">
        <v>475</v>
      </c>
      <c r="H16" s="773"/>
      <c r="I16" s="773"/>
      <c r="J16" s="773"/>
      <c r="K16" s="773"/>
      <c r="L16" s="773"/>
      <c r="M16" s="773"/>
      <c r="N16" s="773"/>
      <c r="O16" s="773"/>
      <c r="P16" s="773"/>
    </row>
    <row r="17" spans="1:16" s="381" customFormat="1" ht="16.5">
      <c r="B17" s="381" t="s">
        <v>485</v>
      </c>
      <c r="C17" s="382" t="s">
        <v>220</v>
      </c>
      <c r="D17" s="518"/>
      <c r="E17" s="392" t="s">
        <v>474</v>
      </c>
      <c r="H17" s="296"/>
      <c r="I17" s="296"/>
      <c r="J17" s="296"/>
      <c r="K17" s="296"/>
      <c r="L17" s="296"/>
      <c r="M17" s="296"/>
      <c r="N17" s="296"/>
      <c r="O17" s="296"/>
      <c r="P17" s="296"/>
    </row>
    <row r="18" spans="1:16" s="381" customFormat="1" ht="16.5" customHeight="1">
      <c r="C18" s="382"/>
      <c r="D18" s="89" t="s">
        <v>217</v>
      </c>
      <c r="E18" s="393" t="s">
        <v>475</v>
      </c>
      <c r="H18" s="773" t="s">
        <v>486</v>
      </c>
      <c r="I18" s="773"/>
      <c r="J18" s="773"/>
      <c r="K18" s="773"/>
      <c r="L18" s="773"/>
      <c r="M18" s="773"/>
      <c r="N18" s="773"/>
      <c r="O18" s="773"/>
      <c r="P18" s="773"/>
    </row>
    <row r="19" spans="1:16" s="381" customFormat="1" ht="16.5" customHeight="1">
      <c r="C19" s="382"/>
      <c r="D19" s="332"/>
      <c r="E19" s="331"/>
      <c r="H19" s="773"/>
      <c r="I19" s="773"/>
      <c r="J19" s="773"/>
      <c r="K19" s="773"/>
      <c r="L19" s="773"/>
      <c r="M19" s="773"/>
      <c r="N19" s="773"/>
      <c r="O19" s="773"/>
      <c r="P19" s="773"/>
    </row>
    <row r="20" spans="1:16" s="381" customFormat="1" ht="15.75" customHeight="1">
      <c r="C20" s="382"/>
      <c r="D20" s="382"/>
      <c r="E20" s="318"/>
    </row>
    <row r="21" spans="1:16" s="381" customFormat="1" ht="16.5">
      <c r="A21" s="381" t="s">
        <v>221</v>
      </c>
      <c r="B21" s="769" t="s">
        <v>222</v>
      </c>
      <c r="C21" s="769"/>
      <c r="D21" s="769"/>
      <c r="E21" s="769"/>
      <c r="F21" s="769"/>
      <c r="G21" s="769"/>
      <c r="H21" s="769"/>
      <c r="I21" s="769"/>
      <c r="J21" s="769"/>
      <c r="K21" s="769"/>
      <c r="L21" s="769"/>
      <c r="M21" s="769"/>
      <c r="N21" s="769"/>
    </row>
    <row r="22" spans="1:16" s="381" customFormat="1" ht="16.5">
      <c r="B22" s="381" t="s">
        <v>223</v>
      </c>
      <c r="C22" s="382" t="s">
        <v>224</v>
      </c>
      <c r="D22" s="382"/>
      <c r="E22" s="333"/>
    </row>
    <row r="23" spans="1:16" s="381" customFormat="1" ht="16.5">
      <c r="C23" s="382" t="s">
        <v>225</v>
      </c>
      <c r="D23" s="330" t="s">
        <v>217</v>
      </c>
      <c r="E23" s="333" t="s">
        <v>474</v>
      </c>
    </row>
    <row r="24" spans="1:16" s="381" customFormat="1" ht="16.5">
      <c r="C24" s="382"/>
      <c r="E24" s="333" t="s">
        <v>475</v>
      </c>
      <c r="H24" s="420"/>
      <c r="I24" s="418"/>
      <c r="J24" s="418"/>
      <c r="K24" s="418"/>
      <c r="L24" s="418"/>
      <c r="M24" s="418"/>
      <c r="N24" s="418"/>
      <c r="O24" s="418"/>
      <c r="P24" s="418"/>
    </row>
    <row r="25" spans="1:16" s="381" customFormat="1" ht="16.5">
      <c r="B25" s="381" t="s">
        <v>226</v>
      </c>
      <c r="C25" s="382"/>
      <c r="D25" s="332"/>
      <c r="E25" s="333"/>
      <c r="H25" s="419"/>
      <c r="I25" s="419"/>
      <c r="J25" s="419"/>
      <c r="K25" s="419"/>
      <c r="L25" s="419"/>
      <c r="M25" s="419"/>
      <c r="N25" s="419"/>
      <c r="O25" s="419"/>
      <c r="P25" s="419"/>
    </row>
    <row r="26" spans="1:16" s="381" customFormat="1" ht="16.5">
      <c r="C26" s="382" t="s">
        <v>227</v>
      </c>
      <c r="D26" s="382"/>
      <c r="E26" s="333"/>
    </row>
    <row r="27" spans="1:16" s="381" customFormat="1" ht="16.5" hidden="1">
      <c r="C27" s="470" t="s">
        <v>450</v>
      </c>
      <c r="E27" s="51" t="s">
        <v>474</v>
      </c>
    </row>
    <row r="28" spans="1:16" s="381" customFormat="1" ht="16.5" hidden="1">
      <c r="D28" s="89" t="s">
        <v>217</v>
      </c>
      <c r="E28" s="50" t="s">
        <v>475</v>
      </c>
      <c r="H28" s="765" t="s">
        <v>451</v>
      </c>
      <c r="I28" s="766"/>
      <c r="J28" s="766"/>
      <c r="K28" s="766"/>
      <c r="L28" s="766"/>
      <c r="M28" s="766"/>
      <c r="N28" s="766"/>
      <c r="O28" s="766"/>
      <c r="P28" s="766"/>
    </row>
    <row r="29" spans="1:16" s="381" customFormat="1" ht="16.5" hidden="1">
      <c r="D29" s="471"/>
      <c r="E29" s="50"/>
      <c r="H29" s="766"/>
      <c r="I29" s="766"/>
      <c r="J29" s="766"/>
      <c r="K29" s="766"/>
      <c r="L29" s="766"/>
      <c r="M29" s="766"/>
      <c r="N29" s="766"/>
      <c r="O29" s="766"/>
      <c r="P29" s="766"/>
    </row>
    <row r="30" spans="1:16" s="381" customFormat="1" ht="16.5">
      <c r="C30" s="381" t="s">
        <v>476</v>
      </c>
      <c r="D30" s="330" t="s">
        <v>217</v>
      </c>
      <c r="E30" s="51" t="s">
        <v>474</v>
      </c>
    </row>
    <row r="31" spans="1:16" s="381" customFormat="1" ht="16.5">
      <c r="D31" s="565"/>
      <c r="E31" s="50" t="s">
        <v>475</v>
      </c>
      <c r="H31" s="767" t="s">
        <v>451</v>
      </c>
      <c r="I31" s="768"/>
      <c r="J31" s="768"/>
      <c r="K31" s="768"/>
      <c r="L31" s="768"/>
      <c r="M31" s="768"/>
      <c r="N31" s="768"/>
      <c r="O31" s="768"/>
      <c r="P31" s="768"/>
    </row>
    <row r="32" spans="1:16" s="381" customFormat="1" ht="16.5">
      <c r="E32" s="51"/>
      <c r="H32" s="768"/>
      <c r="I32" s="768"/>
      <c r="J32" s="768"/>
      <c r="K32" s="768"/>
      <c r="L32" s="768"/>
      <c r="M32" s="768"/>
      <c r="N32" s="768"/>
      <c r="O32" s="768"/>
      <c r="P32" s="768"/>
    </row>
    <row r="33" spans="5:5" s="381" customFormat="1" ht="16.5">
      <c r="E33" s="51"/>
    </row>
    <row r="34" spans="5:5" s="381" customFormat="1" ht="16.5">
      <c r="E34" s="51"/>
    </row>
    <row r="35" spans="5:5" s="381" customFormat="1" ht="16.5">
      <c r="E35" s="51"/>
    </row>
    <row r="36" spans="5:5" s="381" customFormat="1" ht="16.5">
      <c r="E36" s="51"/>
    </row>
    <row r="37" spans="5:5" s="381" customFormat="1" ht="16.5">
      <c r="E37" s="51"/>
    </row>
    <row r="38" spans="5:5" s="381" customFormat="1" ht="16.5">
      <c r="E38" s="51"/>
    </row>
    <row r="39" spans="5:5" s="381" customFormat="1" ht="16.5">
      <c r="E39" s="51"/>
    </row>
    <row r="40" spans="5:5" s="381" customFormat="1" ht="16.5">
      <c r="E40" s="51"/>
    </row>
    <row r="41" spans="5:5" s="381" customFormat="1" ht="16.5">
      <c r="E41" s="51"/>
    </row>
    <row r="42" spans="5:5" s="381" customFormat="1" ht="16.5">
      <c r="E42" s="51"/>
    </row>
    <row r="43" spans="5:5" s="381" customFormat="1" ht="16.5">
      <c r="E43" s="51"/>
    </row>
    <row r="44" spans="5:5" s="381" customFormat="1" ht="16.5">
      <c r="E44" s="51"/>
    </row>
    <row r="45" spans="5:5" s="381" customFormat="1" ht="16.5">
      <c r="E45" s="51"/>
    </row>
    <row r="46" spans="5:5" s="381" customFormat="1" ht="16.5">
      <c r="E46" s="51"/>
    </row>
    <row r="47" spans="5:5" s="381" customFormat="1" ht="16.5">
      <c r="E47" s="51"/>
    </row>
    <row r="48" spans="5:5" s="381" customFormat="1" ht="16.5">
      <c r="E48" s="51"/>
    </row>
    <row r="49" spans="5:5" s="381" customFormat="1" ht="16.5">
      <c r="E49" s="51"/>
    </row>
    <row r="50" spans="5:5" s="381" customFormat="1" ht="16.5">
      <c r="E50" s="51"/>
    </row>
    <row r="51" spans="5:5" s="381" customFormat="1" ht="16.5">
      <c r="E51" s="51"/>
    </row>
    <row r="52" spans="5:5" s="381" customFormat="1" ht="16.5">
      <c r="E52" s="51"/>
    </row>
    <row r="53" spans="5:5" s="381" customFormat="1" ht="16.5">
      <c r="E53" s="51"/>
    </row>
    <row r="54" spans="5:5" s="381" customFormat="1" ht="16.5">
      <c r="E54" s="51"/>
    </row>
    <row r="55" spans="5:5" s="381" customFormat="1" ht="16.5">
      <c r="E55" s="51"/>
    </row>
    <row r="56" spans="5:5" s="381" customFormat="1" ht="16.5">
      <c r="E56" s="51"/>
    </row>
    <row r="57" spans="5:5" s="381" customFormat="1" ht="16.5">
      <c r="E57" s="51"/>
    </row>
    <row r="58" spans="5:5" s="381" customFormat="1" ht="16.5">
      <c r="E58" s="51"/>
    </row>
    <row r="59" spans="5:5" s="381" customFormat="1" ht="16.5">
      <c r="E59" s="51"/>
    </row>
    <row r="60" spans="5:5" s="381" customFormat="1" ht="16.5">
      <c r="E60" s="51"/>
    </row>
    <row r="61" spans="5:5" s="381" customFormat="1" ht="16.5">
      <c r="E61" s="51"/>
    </row>
    <row r="62" spans="5:5" s="381" customFormat="1" ht="16.5">
      <c r="E62" s="51"/>
    </row>
    <row r="63" spans="5:5" s="381" customFormat="1" ht="16.5">
      <c r="E63" s="51"/>
    </row>
    <row r="64" spans="5:5" s="381" customFormat="1" ht="16.5">
      <c r="E64" s="51"/>
    </row>
    <row r="65" spans="5:5" s="381" customFormat="1" ht="16.5">
      <c r="E65" s="51"/>
    </row>
    <row r="66" spans="5:5" s="381" customFormat="1" ht="16.5">
      <c r="E66" s="51"/>
    </row>
  </sheetData>
  <mergeCells count="9">
    <mergeCell ref="H28:P29"/>
    <mergeCell ref="H31:P32"/>
    <mergeCell ref="B21:N21"/>
    <mergeCell ref="A1:O1"/>
    <mergeCell ref="A2:O2"/>
    <mergeCell ref="A3:O3"/>
    <mergeCell ref="B4:P4"/>
    <mergeCell ref="H18:P19"/>
    <mergeCell ref="H15:P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26" sqref="A26:XFD26"/>
      <selection pane="topRight" activeCell="A26" sqref="A26:XFD26"/>
      <selection pane="bottomLeft" activeCell="A26" sqref="A26:XFD26"/>
      <selection pane="bottomRight" activeCell="A26" sqref="A26:XFD26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15" t="str">
        <f>封面!$A$4</f>
        <v>彰化縣地方教育發展基金－彰化縣彰化市民生國民小學</v>
      </c>
      <c r="B1" s="715"/>
      <c r="C1" s="715"/>
      <c r="D1" s="715"/>
      <c r="E1" s="715"/>
      <c r="F1" s="715"/>
      <c r="G1" s="715"/>
      <c r="H1" s="715"/>
      <c r="I1" s="622"/>
      <c r="J1" s="622"/>
      <c r="K1" s="622"/>
      <c r="L1" s="622"/>
      <c r="M1" s="622"/>
      <c r="N1" s="622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32" t="s">
        <v>294</v>
      </c>
      <c r="B4" s="732"/>
      <c r="C4" s="732"/>
      <c r="D4" s="732"/>
      <c r="E4" s="732"/>
      <c r="F4" s="732"/>
      <c r="G4" s="732"/>
      <c r="H4" s="732"/>
      <c r="I4" s="622"/>
      <c r="J4" s="622"/>
      <c r="K4" s="622"/>
      <c r="L4" s="622"/>
      <c r="M4" s="622"/>
      <c r="N4" s="622"/>
    </row>
    <row r="5" spans="1:18" ht="6.75" customHeight="1"/>
    <row r="6" spans="1:18" ht="16.5">
      <c r="A6" s="716" t="str">
        <f>封面!$E$10&amp;封面!$H$10&amp;封面!$I$10&amp;封面!$J$10&amp;封面!$K$10&amp;封面!$O$10&amp;"日"</f>
        <v>中華民國114年9月30日</v>
      </c>
      <c r="B6" s="716"/>
      <c r="C6" s="716"/>
      <c r="D6" s="716"/>
      <c r="E6" s="716"/>
      <c r="F6" s="716"/>
      <c r="G6" s="716"/>
      <c r="H6" s="716"/>
      <c r="I6" s="622"/>
      <c r="J6" s="622"/>
      <c r="K6" s="622"/>
      <c r="L6" s="622"/>
      <c r="M6" s="622"/>
      <c r="N6" s="622"/>
    </row>
    <row r="7" spans="1:18" ht="16.5">
      <c r="A7" s="668" t="s">
        <v>39</v>
      </c>
      <c r="B7" s="668"/>
      <c r="C7" s="668"/>
      <c r="D7" s="668"/>
      <c r="E7" s="668"/>
      <c r="F7" s="668"/>
      <c r="G7" s="668"/>
      <c r="H7" s="668"/>
      <c r="I7" s="622"/>
      <c r="J7" s="622"/>
      <c r="K7" s="622"/>
      <c r="L7" s="622"/>
      <c r="M7" s="622"/>
      <c r="N7" s="622"/>
    </row>
    <row r="8" spans="1:18" ht="6" hidden="1" customHeight="1"/>
    <row r="9" spans="1:18" s="301" customFormat="1" ht="21" customHeight="1">
      <c r="A9" s="779" t="s">
        <v>291</v>
      </c>
      <c r="B9" s="780"/>
      <c r="C9" s="780"/>
      <c r="D9" s="780"/>
      <c r="E9" s="780"/>
      <c r="F9" s="779" t="s">
        <v>194</v>
      </c>
      <c r="G9" s="780"/>
      <c r="H9" s="780"/>
      <c r="I9" s="780"/>
      <c r="J9" s="780"/>
      <c r="K9" s="780"/>
      <c r="L9" s="780"/>
      <c r="M9" s="780"/>
      <c r="N9" s="780"/>
      <c r="O9" s="300"/>
      <c r="P9" s="300"/>
      <c r="Q9" s="300"/>
      <c r="R9" s="300"/>
    </row>
    <row r="10" spans="1:18" s="301" customFormat="1" ht="21" customHeight="1">
      <c r="A10" s="780"/>
      <c r="B10" s="780"/>
      <c r="C10" s="780"/>
      <c r="D10" s="780"/>
      <c r="E10" s="780"/>
      <c r="F10" s="776" t="s">
        <v>292</v>
      </c>
      <c r="G10" s="777"/>
      <c r="H10" s="777"/>
      <c r="I10" s="778"/>
      <c r="J10" s="783" t="s">
        <v>293</v>
      </c>
      <c r="K10" s="783"/>
      <c r="L10" s="783"/>
      <c r="M10" s="783"/>
      <c r="N10" s="783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539" customFormat="1" ht="14.25">
      <c r="A14" s="781" t="s">
        <v>374</v>
      </c>
      <c r="B14" s="782"/>
      <c r="C14" s="782"/>
      <c r="D14" s="782"/>
      <c r="E14" s="540"/>
      <c r="F14" s="541"/>
      <c r="G14" s="542"/>
      <c r="H14" s="542"/>
      <c r="I14" s="543">
        <f>SUM(I15:I26)/2</f>
        <v>9449971</v>
      </c>
      <c r="J14" s="544"/>
      <c r="K14" s="545"/>
      <c r="L14" s="545"/>
      <c r="M14" s="546"/>
      <c r="N14" s="543">
        <f>I14+[1]收支!$N14</f>
        <v>117031040</v>
      </c>
    </row>
    <row r="15" spans="1:18" s="539" customFormat="1" ht="14.25">
      <c r="A15" s="547"/>
      <c r="B15" s="774" t="s">
        <v>375</v>
      </c>
      <c r="C15" s="774"/>
      <c r="D15" s="774"/>
      <c r="E15" s="775"/>
      <c r="F15" s="521"/>
      <c r="G15" s="522"/>
      <c r="H15" s="522"/>
      <c r="I15" s="523">
        <f>I16</f>
        <v>0</v>
      </c>
      <c r="J15" s="524"/>
      <c r="K15" s="525"/>
      <c r="L15" s="525"/>
      <c r="M15" s="526"/>
      <c r="N15" s="523">
        <f>I15+[1]收支!$N15</f>
        <v>250121</v>
      </c>
    </row>
    <row r="16" spans="1:18" s="443" customFormat="1" ht="14.25">
      <c r="A16" s="435"/>
      <c r="B16" s="436"/>
      <c r="C16" s="324" t="s">
        <v>376</v>
      </c>
      <c r="D16" s="324"/>
      <c r="E16" s="325"/>
      <c r="F16" s="437"/>
      <c r="G16" s="438"/>
      <c r="H16" s="438"/>
      <c r="I16" s="439"/>
      <c r="J16" s="440"/>
      <c r="K16" s="441"/>
      <c r="L16" s="441"/>
      <c r="M16" s="442"/>
      <c r="N16" s="439">
        <f>I16+[1]收支!$N16</f>
        <v>250121</v>
      </c>
    </row>
    <row r="17" spans="1:14" s="539" customFormat="1" ht="14.25">
      <c r="A17" s="533"/>
      <c r="B17" s="774" t="s">
        <v>312</v>
      </c>
      <c r="C17" s="774"/>
      <c r="D17" s="774"/>
      <c r="E17" s="775"/>
      <c r="F17" s="521"/>
      <c r="G17" s="522"/>
      <c r="H17" s="522"/>
      <c r="I17" s="523">
        <f>SUM(I18:I21)</f>
        <v>1971</v>
      </c>
      <c r="J17" s="524"/>
      <c r="K17" s="525"/>
      <c r="L17" s="525"/>
      <c r="M17" s="526"/>
      <c r="N17" s="523">
        <f>I17+[1]收支!$N17</f>
        <v>1652230</v>
      </c>
    </row>
    <row r="18" spans="1:14" s="447" customFormat="1" ht="14.25">
      <c r="A18" s="444"/>
      <c r="B18" s="436"/>
      <c r="C18" s="324" t="s">
        <v>419</v>
      </c>
      <c r="D18" s="436"/>
      <c r="E18" s="445"/>
      <c r="F18" s="437"/>
      <c r="G18" s="438"/>
      <c r="H18" s="438"/>
      <c r="I18" s="446"/>
      <c r="J18" s="440"/>
      <c r="K18" s="441"/>
      <c r="L18" s="441"/>
      <c r="M18" s="442"/>
      <c r="N18" s="439">
        <f>I18+[1]收支!$N18</f>
        <v>34099</v>
      </c>
    </row>
    <row r="19" spans="1:14" s="443" customFormat="1" ht="14.25">
      <c r="A19" s="444"/>
      <c r="B19" s="436"/>
      <c r="C19" s="324" t="s">
        <v>377</v>
      </c>
      <c r="D19" s="324"/>
      <c r="E19" s="325"/>
      <c r="F19" s="437"/>
      <c r="G19" s="438"/>
      <c r="H19" s="438"/>
      <c r="I19" s="439">
        <v>107</v>
      </c>
      <c r="J19" s="440"/>
      <c r="K19" s="441"/>
      <c r="L19" s="441"/>
      <c r="M19" s="442"/>
      <c r="N19" s="439">
        <f>I19+[1]收支!$N19</f>
        <v>987</v>
      </c>
    </row>
    <row r="20" spans="1:14" s="443" customFormat="1" ht="14.25">
      <c r="A20" s="444"/>
      <c r="B20" s="436"/>
      <c r="C20" s="324" t="s">
        <v>378</v>
      </c>
      <c r="D20" s="324"/>
      <c r="E20" s="325"/>
      <c r="F20" s="437"/>
      <c r="G20" s="438"/>
      <c r="H20" s="438"/>
      <c r="I20" s="439">
        <v>1864</v>
      </c>
      <c r="J20" s="440"/>
      <c r="K20" s="441"/>
      <c r="L20" s="441"/>
      <c r="M20" s="442"/>
      <c r="N20" s="439">
        <f>I20+[1]收支!$N20</f>
        <v>101262</v>
      </c>
    </row>
    <row r="21" spans="1:14" s="443" customFormat="1" ht="14.25">
      <c r="A21" s="444"/>
      <c r="B21" s="436"/>
      <c r="C21" s="324" t="s">
        <v>379</v>
      </c>
      <c r="D21" s="324"/>
      <c r="E21" s="325"/>
      <c r="F21" s="437"/>
      <c r="G21" s="438"/>
      <c r="H21" s="438"/>
      <c r="I21" s="439"/>
      <c r="J21" s="440"/>
      <c r="K21" s="441"/>
      <c r="L21" s="441"/>
      <c r="M21" s="442"/>
      <c r="N21" s="439">
        <f>I21+[1]收支!$N21</f>
        <v>1515882</v>
      </c>
    </row>
    <row r="22" spans="1:14" s="527" customFormat="1" ht="14.25">
      <c r="A22" s="528"/>
      <c r="B22" s="774" t="s">
        <v>380</v>
      </c>
      <c r="C22" s="774"/>
      <c r="D22" s="774"/>
      <c r="E22" s="775"/>
      <c r="F22" s="521"/>
      <c r="G22" s="522"/>
      <c r="H22" s="522"/>
      <c r="I22" s="523">
        <f>I23</f>
        <v>9448000</v>
      </c>
      <c r="J22" s="524"/>
      <c r="K22" s="525"/>
      <c r="L22" s="525"/>
      <c r="M22" s="526"/>
      <c r="N22" s="523">
        <f>I22+[1]收支!$N22</f>
        <v>115123255</v>
      </c>
    </row>
    <row r="23" spans="1:14" s="453" customFormat="1" ht="14.25">
      <c r="A23" s="449"/>
      <c r="B23" s="49"/>
      <c r="C23" s="450" t="s">
        <v>381</v>
      </c>
      <c r="D23" s="450"/>
      <c r="E23" s="451"/>
      <c r="F23" s="449"/>
      <c r="G23"/>
      <c r="H23"/>
      <c r="I23" s="452">
        <v>9448000</v>
      </c>
      <c r="J23" s="444"/>
      <c r="K23" s="49"/>
      <c r="L23" s="49"/>
      <c r="M23" s="113"/>
      <c r="N23" s="452">
        <f>I23+[1]收支!$N23</f>
        <v>115123255</v>
      </c>
    </row>
    <row r="24" spans="1:14" s="527" customFormat="1" ht="14.25">
      <c r="A24" s="528"/>
      <c r="B24" s="529" t="s">
        <v>382</v>
      </c>
      <c r="C24" s="530"/>
      <c r="D24" s="530"/>
      <c r="E24" s="531"/>
      <c r="F24" s="528"/>
      <c r="G24" s="532"/>
      <c r="H24" s="532"/>
      <c r="I24" s="538">
        <f>SUM(I25:I26)</f>
        <v>0</v>
      </c>
      <c r="J24" s="533"/>
      <c r="K24" s="529"/>
      <c r="L24" s="529"/>
      <c r="M24" s="534"/>
      <c r="N24" s="538">
        <f>I24+[1]收支!$N24</f>
        <v>5434</v>
      </c>
    </row>
    <row r="25" spans="1:14" s="448" customFormat="1" ht="14.25">
      <c r="A25" s="449"/>
      <c r="B25" s="49"/>
      <c r="C25" s="450" t="s">
        <v>470</v>
      </c>
      <c r="D25" s="505"/>
      <c r="E25" s="506"/>
      <c r="F25" s="449"/>
      <c r="G25"/>
      <c r="H25"/>
      <c r="I25" s="507"/>
      <c r="J25" s="444"/>
      <c r="K25" s="49"/>
      <c r="L25" s="49"/>
      <c r="M25" s="113"/>
      <c r="N25" s="452">
        <f>I25+[1]收支!$N25</f>
        <v>5000</v>
      </c>
    </row>
    <row r="26" spans="1:14" s="453" customFormat="1" ht="14.25">
      <c r="A26" s="449"/>
      <c r="B26" s="49"/>
      <c r="C26" s="450" t="s">
        <v>367</v>
      </c>
      <c r="D26" s="450"/>
      <c r="E26" s="451"/>
      <c r="F26" s="449"/>
      <c r="G26"/>
      <c r="H26"/>
      <c r="I26" s="452"/>
      <c r="J26" s="444"/>
      <c r="K26" s="49"/>
      <c r="L26" s="49"/>
      <c r="M26" s="113"/>
      <c r="N26" s="452">
        <f>I26+[1]收支!$N26</f>
        <v>434</v>
      </c>
    </row>
    <row r="27" spans="1:14" s="527" customFormat="1" ht="14.25">
      <c r="A27" s="788" t="s">
        <v>313</v>
      </c>
      <c r="B27" s="774"/>
      <c r="C27" s="774"/>
      <c r="D27" s="774"/>
      <c r="E27" s="520"/>
      <c r="F27" s="521"/>
      <c r="G27" s="522"/>
      <c r="H27" s="522"/>
      <c r="I27" s="523">
        <f>SUM(I28:I38)/2</f>
        <v>20868907</v>
      </c>
      <c r="J27" s="524"/>
      <c r="K27" s="525"/>
      <c r="L27" s="525"/>
      <c r="M27" s="526"/>
      <c r="N27" s="523">
        <f>I27+[1]收支!$N27</f>
        <v>125145521</v>
      </c>
    </row>
    <row r="28" spans="1:14" s="527" customFormat="1" ht="14.25">
      <c r="A28" s="528"/>
      <c r="B28" s="774" t="s">
        <v>383</v>
      </c>
      <c r="C28" s="774"/>
      <c r="D28" s="774"/>
      <c r="E28" s="775"/>
      <c r="F28" s="521"/>
      <c r="G28" s="522"/>
      <c r="H28" s="522"/>
      <c r="I28" s="523">
        <f>I29</f>
        <v>19636596</v>
      </c>
      <c r="J28" s="524"/>
      <c r="K28" s="525"/>
      <c r="L28" s="525"/>
      <c r="M28" s="526"/>
      <c r="N28" s="523">
        <f>I28+[1]收支!$N28</f>
        <v>113077795</v>
      </c>
    </row>
    <row r="29" spans="1:14" s="453" customFormat="1" ht="14.25">
      <c r="A29" s="449"/>
      <c r="B29" s="436"/>
      <c r="C29" s="324" t="s">
        <v>383</v>
      </c>
      <c r="D29" s="324"/>
      <c r="E29" s="325"/>
      <c r="F29" s="437"/>
      <c r="G29" s="438"/>
      <c r="H29" s="438"/>
      <c r="I29" s="439">
        <v>19636596</v>
      </c>
      <c r="J29" s="440"/>
      <c r="K29" s="441"/>
      <c r="L29" s="441"/>
      <c r="M29" s="442"/>
      <c r="N29" s="439">
        <f>I29+[1]收支!$N29</f>
        <v>113077795</v>
      </c>
    </row>
    <row r="30" spans="1:14" s="527" customFormat="1" ht="14.25">
      <c r="A30" s="528"/>
      <c r="B30" s="774" t="s">
        <v>384</v>
      </c>
      <c r="C30" s="774"/>
      <c r="D30" s="774"/>
      <c r="E30" s="775"/>
      <c r="F30" s="521"/>
      <c r="G30" s="522"/>
      <c r="H30" s="522"/>
      <c r="I30" s="523">
        <f>I31</f>
        <v>262300</v>
      </c>
      <c r="J30" s="524"/>
      <c r="K30" s="525"/>
      <c r="L30" s="525"/>
      <c r="M30" s="526"/>
      <c r="N30" s="523">
        <f>I30+[1]收支!$N30</f>
        <v>2939893</v>
      </c>
    </row>
    <row r="31" spans="1:14" s="453" customFormat="1" ht="14.25">
      <c r="A31" s="449"/>
      <c r="B31" s="436"/>
      <c r="C31" s="324" t="s">
        <v>384</v>
      </c>
      <c r="D31" s="324"/>
      <c r="E31" s="325"/>
      <c r="F31" s="437"/>
      <c r="G31" s="438"/>
      <c r="H31" s="438"/>
      <c r="I31" s="439">
        <v>262300</v>
      </c>
      <c r="J31" s="440"/>
      <c r="K31" s="441"/>
      <c r="L31" s="441"/>
      <c r="M31" s="442"/>
      <c r="N31" s="439">
        <f>I31+[1]收支!$N31</f>
        <v>2939893</v>
      </c>
    </row>
    <row r="32" spans="1:14" s="527" customFormat="1" ht="14.25">
      <c r="A32" s="528"/>
      <c r="B32" s="535" t="s">
        <v>385</v>
      </c>
      <c r="C32" s="536"/>
      <c r="D32" s="536"/>
      <c r="E32" s="537"/>
      <c r="F32" s="521"/>
      <c r="G32" s="522"/>
      <c r="H32" s="522"/>
      <c r="I32" s="523">
        <f>I33</f>
        <v>0</v>
      </c>
      <c r="J32" s="524"/>
      <c r="K32" s="525"/>
      <c r="L32" s="525"/>
      <c r="M32" s="526"/>
      <c r="N32" s="523">
        <f>I32+[1]收支!$N32</f>
        <v>120508</v>
      </c>
    </row>
    <row r="33" spans="1:14" s="453" customFormat="1" ht="14.25">
      <c r="A33" s="449"/>
      <c r="B33" s="436"/>
      <c r="C33" s="324" t="s">
        <v>386</v>
      </c>
      <c r="D33" s="324"/>
      <c r="E33" s="325"/>
      <c r="F33" s="437"/>
      <c r="G33" s="438"/>
      <c r="H33" s="438"/>
      <c r="I33" s="439"/>
      <c r="J33" s="440"/>
      <c r="K33" s="441"/>
      <c r="L33" s="441"/>
      <c r="M33" s="442"/>
      <c r="N33" s="439">
        <f>I33+[1]收支!$N33</f>
        <v>120508</v>
      </c>
    </row>
    <row r="34" spans="1:14" s="527" customFormat="1" ht="14.25">
      <c r="A34" s="528"/>
      <c r="B34" s="774" t="s">
        <v>387</v>
      </c>
      <c r="C34" s="774"/>
      <c r="D34" s="774"/>
      <c r="E34" s="775"/>
      <c r="F34" s="521"/>
      <c r="G34" s="522"/>
      <c r="H34" s="522"/>
      <c r="I34" s="523">
        <f>I35+I36</f>
        <v>969448</v>
      </c>
      <c r="J34" s="524"/>
      <c r="K34" s="525"/>
      <c r="L34" s="525"/>
      <c r="M34" s="526"/>
      <c r="N34" s="523">
        <f>I34+[1]收支!$N34</f>
        <v>8811978</v>
      </c>
    </row>
    <row r="35" spans="1:14" s="453" customFormat="1" ht="14.25">
      <c r="A35" s="449"/>
      <c r="B35" s="49"/>
      <c r="C35" s="450" t="s">
        <v>388</v>
      </c>
      <c r="D35" s="450"/>
      <c r="E35" s="451"/>
      <c r="F35" s="449"/>
      <c r="G35"/>
      <c r="H35"/>
      <c r="I35" s="439">
        <v>958409</v>
      </c>
      <c r="J35" s="444"/>
      <c r="K35" s="49"/>
      <c r="L35" s="49"/>
      <c r="M35" s="113"/>
      <c r="N35" s="439">
        <f>I35+[1]收支!$N35</f>
        <v>8743023</v>
      </c>
    </row>
    <row r="36" spans="1:14" s="453" customFormat="1" ht="14.25">
      <c r="A36" s="449"/>
      <c r="B36" s="49"/>
      <c r="C36" s="450" t="s">
        <v>448</v>
      </c>
      <c r="D36" s="450"/>
      <c r="E36" s="451"/>
      <c r="F36" s="449"/>
      <c r="G36"/>
      <c r="H36"/>
      <c r="I36" s="439">
        <v>11039</v>
      </c>
      <c r="J36" s="444"/>
      <c r="K36" s="49"/>
      <c r="L36" s="49"/>
      <c r="M36" s="113"/>
      <c r="N36" s="439">
        <f>I36+[1]收支!$N36</f>
        <v>68955</v>
      </c>
    </row>
    <row r="37" spans="1:14" s="527" customFormat="1" ht="14.25">
      <c r="A37" s="528"/>
      <c r="B37" s="529" t="s">
        <v>389</v>
      </c>
      <c r="C37" s="530"/>
      <c r="D37" s="530"/>
      <c r="E37" s="531"/>
      <c r="F37" s="528"/>
      <c r="G37" s="532"/>
      <c r="H37" s="532"/>
      <c r="I37" s="523">
        <f>I38</f>
        <v>563</v>
      </c>
      <c r="J37" s="533"/>
      <c r="K37" s="529"/>
      <c r="L37" s="529"/>
      <c r="M37" s="534"/>
      <c r="N37" s="523">
        <f>I37+[1]收支!$N37</f>
        <v>195347</v>
      </c>
    </row>
    <row r="38" spans="1:14" s="453" customFormat="1" ht="14.25">
      <c r="A38" s="449"/>
      <c r="B38" s="49"/>
      <c r="C38" s="450" t="s">
        <v>389</v>
      </c>
      <c r="D38" s="450"/>
      <c r="E38" s="451"/>
      <c r="F38" s="449"/>
      <c r="G38"/>
      <c r="H38"/>
      <c r="I38" s="439">
        <v>563</v>
      </c>
      <c r="J38" s="444"/>
      <c r="K38" s="49"/>
      <c r="L38" s="49"/>
      <c r="M38" s="113"/>
      <c r="N38" s="439">
        <f>I38+[1]收支!$N38</f>
        <v>195347</v>
      </c>
    </row>
    <row r="39" spans="1:14" s="527" customFormat="1" ht="14.25">
      <c r="A39" s="789" t="s">
        <v>390</v>
      </c>
      <c r="B39" s="790"/>
      <c r="C39" s="791"/>
      <c r="D39" s="791"/>
      <c r="E39" s="520"/>
      <c r="F39" s="521"/>
      <c r="G39" s="522"/>
      <c r="H39" s="522"/>
      <c r="I39" s="523">
        <f>I14-I27</f>
        <v>-11418936</v>
      </c>
      <c r="J39" s="524"/>
      <c r="K39" s="525"/>
      <c r="L39" s="525"/>
      <c r="M39" s="526"/>
      <c r="N39" s="523">
        <f>I39+[1]收支!$N39</f>
        <v>-8114481</v>
      </c>
    </row>
    <row r="40" spans="1:14" s="453" customFormat="1" ht="14.25">
      <c r="A40" s="784" t="s">
        <v>314</v>
      </c>
      <c r="B40" s="785"/>
      <c r="C40" s="785"/>
      <c r="D40" s="785"/>
      <c r="E40" s="454"/>
      <c r="F40" s="455"/>
      <c r="G40" s="456"/>
      <c r="H40" s="457"/>
      <c r="I40" s="439"/>
      <c r="J40" s="440"/>
      <c r="K40" s="441"/>
      <c r="L40" s="441"/>
      <c r="M40" s="442"/>
      <c r="N40" s="458">
        <f>[2]收支!$N43</f>
        <v>343110363</v>
      </c>
    </row>
    <row r="41" spans="1:14" s="453" customFormat="1" ht="14.25">
      <c r="A41" s="784" t="s">
        <v>315</v>
      </c>
      <c r="B41" s="785"/>
      <c r="C41" s="785"/>
      <c r="D41" s="785"/>
      <c r="E41" s="454"/>
      <c r="F41" s="459"/>
      <c r="G41" s="456"/>
      <c r="H41" s="460"/>
      <c r="I41" s="439"/>
      <c r="J41" s="444"/>
      <c r="K41" s="49"/>
      <c r="L41" s="49"/>
      <c r="M41" s="113"/>
      <c r="N41" s="439">
        <f>I41+[1]收支!$N$41</f>
        <v>0</v>
      </c>
    </row>
    <row r="42" spans="1:14" s="453" customFormat="1" ht="14.25">
      <c r="A42" s="784" t="s">
        <v>437</v>
      </c>
      <c r="B42" s="785"/>
      <c r="C42" s="785"/>
      <c r="D42" s="785"/>
      <c r="E42" s="454"/>
      <c r="F42" s="459"/>
      <c r="G42" s="456"/>
      <c r="H42" s="460"/>
      <c r="I42" s="439"/>
      <c r="J42" s="444"/>
      <c r="K42" s="49"/>
      <c r="L42" s="49"/>
      <c r="M42" s="113"/>
      <c r="N42" s="439">
        <f>VLOOKUP(A42,[1]平衡!$N$13:T83,7,0)</f>
        <v>0</v>
      </c>
    </row>
    <row r="43" spans="1:14" s="453" customFormat="1" ht="14.25">
      <c r="A43" s="786" t="s">
        <v>391</v>
      </c>
      <c r="B43" s="787"/>
      <c r="C43" s="787"/>
      <c r="D43" s="787"/>
      <c r="E43" s="461"/>
      <c r="F43" s="462"/>
      <c r="G43" s="463"/>
      <c r="H43" s="464"/>
      <c r="I43" s="465"/>
      <c r="J43" s="466"/>
      <c r="K43" s="467"/>
      <c r="L43" s="467"/>
      <c r="M43" s="468"/>
      <c r="N43" s="469">
        <f>N39+N40-N41+N42</f>
        <v>334995882</v>
      </c>
    </row>
    <row r="44" spans="1:14" s="378" customFormat="1" ht="12.75" hidden="1" customHeight="1">
      <c r="A44" s="306"/>
      <c r="B44" s="306"/>
      <c r="C44" s="306"/>
      <c r="D44" s="306"/>
      <c r="E44" s="379"/>
      <c r="F44" s="379"/>
      <c r="G44" s="379"/>
      <c r="H44" s="379"/>
      <c r="I44" s="379">
        <v>0</v>
      </c>
    </row>
    <row r="45" spans="1:14" s="379" customFormat="1" ht="16.5">
      <c r="A45" s="306" t="s">
        <v>392</v>
      </c>
      <c r="B45" s="306" t="s">
        <v>436</v>
      </c>
      <c r="C45" s="306"/>
      <c r="D45" s="306"/>
    </row>
  </sheetData>
  <mergeCells count="21"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26" sqref="A26:XFD26"/>
      <selection pane="topRight" activeCell="A26" sqref="A26:XFD26"/>
      <selection pane="bottomLeft" activeCell="A26" sqref="A26:XFD26"/>
      <selection pane="bottomRight" activeCell="A26" sqref="A26:XFD26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15" t="str">
        <f>封面!$A$4</f>
        <v>彰化縣地方教育發展基金－彰化縣彰化市民生國民小學</v>
      </c>
      <c r="B1" s="715"/>
      <c r="C1" s="715"/>
      <c r="D1" s="715"/>
      <c r="E1" s="715"/>
      <c r="F1" s="715"/>
      <c r="G1" s="622"/>
      <c r="H1" s="622"/>
      <c r="I1" s="622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32" t="s">
        <v>295</v>
      </c>
      <c r="B4" s="732"/>
      <c r="C4" s="732"/>
      <c r="D4" s="732"/>
      <c r="E4" s="732"/>
      <c r="F4" s="732"/>
      <c r="G4" s="622"/>
      <c r="H4" s="622"/>
      <c r="I4" s="622"/>
    </row>
    <row r="5" spans="1:10" ht="6.75" customHeight="1"/>
    <row r="6" spans="1:10" ht="16.5">
      <c r="A6" s="716" t="str">
        <f>封面!$E$10&amp;封面!$H$10&amp;封面!$I$10&amp;封面!$J$10&amp;封面!$K$10&amp;封面!L10</f>
        <v>中華民國114年9月份</v>
      </c>
      <c r="B6" s="716"/>
      <c r="C6" s="716"/>
      <c r="D6" s="716"/>
      <c r="E6" s="716"/>
      <c r="F6" s="716"/>
      <c r="G6" s="622"/>
      <c r="H6" s="622"/>
      <c r="I6" s="622"/>
    </row>
    <row r="7" spans="1:10" ht="16.5">
      <c r="A7" s="668" t="s">
        <v>39</v>
      </c>
      <c r="B7" s="668"/>
      <c r="C7" s="668"/>
      <c r="D7" s="668"/>
      <c r="E7" s="668"/>
      <c r="F7" s="668"/>
      <c r="G7" s="622"/>
      <c r="H7" s="622"/>
      <c r="I7" s="622"/>
    </row>
    <row r="8" spans="1:10" ht="6" customHeight="1"/>
    <row r="9" spans="1:10" s="307" customFormat="1" ht="42.75" customHeight="1">
      <c r="A9" s="780" t="s">
        <v>296</v>
      </c>
      <c r="B9" s="780"/>
      <c r="C9" s="308" t="s">
        <v>297</v>
      </c>
      <c r="D9" s="309" t="s">
        <v>298</v>
      </c>
      <c r="E9" s="309" t="s">
        <v>299</v>
      </c>
      <c r="F9" s="309"/>
      <c r="G9" s="780" t="s">
        <v>300</v>
      </c>
      <c r="H9" s="756"/>
      <c r="I9" s="756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795" t="s">
        <v>300</v>
      </c>
      <c r="H10" s="752"/>
      <c r="I10" s="752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795" t="s">
        <v>300</v>
      </c>
      <c r="H11" s="752"/>
      <c r="I11" s="752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795" t="s">
        <v>300</v>
      </c>
      <c r="H12" s="752"/>
      <c r="I12" s="752"/>
    </row>
    <row r="13" spans="1:10" s="378" customFormat="1" ht="16.5">
      <c r="A13" s="797" t="s">
        <v>393</v>
      </c>
      <c r="B13" s="797"/>
      <c r="C13" s="368">
        <f>SUM(C14:C17)</f>
        <v>115417436</v>
      </c>
      <c r="D13" s="368">
        <f t="shared" ref="D13:E13" si="0">SUM(D14:D17)</f>
        <v>1613604</v>
      </c>
      <c r="E13" s="368">
        <f t="shared" si="0"/>
        <v>117031040</v>
      </c>
      <c r="F13" s="311"/>
      <c r="G13" s="793" t="s">
        <v>394</v>
      </c>
      <c r="H13" s="796"/>
      <c r="I13" s="794"/>
      <c r="J13" s="378">
        <f>D13</f>
        <v>1613604</v>
      </c>
    </row>
    <row r="14" spans="1:10" s="378" customFormat="1" ht="16.5">
      <c r="A14" s="304"/>
      <c r="B14" s="377" t="s">
        <v>395</v>
      </c>
      <c r="C14" s="362">
        <v>250121</v>
      </c>
      <c r="D14" s="362"/>
      <c r="E14" s="369">
        <f>C14+D14</f>
        <v>250121</v>
      </c>
      <c r="F14" s="311"/>
      <c r="G14" s="305"/>
      <c r="H14" s="796" t="s">
        <v>395</v>
      </c>
      <c r="I14" s="794"/>
      <c r="J14" s="378">
        <f t="shared" ref="J14:J33" si="1">D14</f>
        <v>0</v>
      </c>
    </row>
    <row r="15" spans="1:10" s="378" customFormat="1" ht="16.5">
      <c r="A15" s="304"/>
      <c r="B15" s="377" t="s">
        <v>396</v>
      </c>
      <c r="C15" s="362">
        <v>38626</v>
      </c>
      <c r="D15" s="362">
        <v>1613604</v>
      </c>
      <c r="E15" s="369">
        <f t="shared" ref="E15:E16" si="2">C15+D15</f>
        <v>1652230</v>
      </c>
      <c r="F15" s="311"/>
      <c r="G15" s="305"/>
      <c r="H15" s="796" t="s">
        <v>397</v>
      </c>
      <c r="I15" s="794"/>
      <c r="J15" s="378">
        <f t="shared" si="1"/>
        <v>1613604</v>
      </c>
    </row>
    <row r="16" spans="1:10" s="378" customFormat="1" ht="16.5">
      <c r="A16" s="304"/>
      <c r="B16" s="377" t="s">
        <v>398</v>
      </c>
      <c r="C16" s="362">
        <v>115123255</v>
      </c>
      <c r="D16" s="362"/>
      <c r="E16" s="369">
        <f t="shared" si="2"/>
        <v>115123255</v>
      </c>
      <c r="F16" s="311"/>
      <c r="G16" s="305"/>
      <c r="H16" s="796" t="s">
        <v>20</v>
      </c>
      <c r="I16" s="794"/>
      <c r="J16" s="378">
        <f t="shared" si="1"/>
        <v>0</v>
      </c>
    </row>
    <row r="17" spans="1:10" s="379" customFormat="1" ht="16.5">
      <c r="A17" s="304"/>
      <c r="B17" s="377" t="s">
        <v>399</v>
      </c>
      <c r="C17" s="362">
        <v>5434</v>
      </c>
      <c r="D17" s="362"/>
      <c r="E17" s="369">
        <f>C17+D17</f>
        <v>5434</v>
      </c>
      <c r="F17" s="311"/>
      <c r="G17" s="305"/>
      <c r="H17" s="796" t="s">
        <v>400</v>
      </c>
      <c r="I17" s="794"/>
      <c r="J17" s="378">
        <f t="shared" si="1"/>
        <v>0</v>
      </c>
    </row>
    <row r="18" spans="1:10" s="379" customFormat="1" ht="16.5">
      <c r="A18" s="793" t="s">
        <v>401</v>
      </c>
      <c r="B18" s="794"/>
      <c r="C18" s="370">
        <f>SUM(C19:C28)</f>
        <v>116204190</v>
      </c>
      <c r="D18" s="370">
        <f>SUM(D19:D28)</f>
        <v>8941331</v>
      </c>
      <c r="E18" s="370">
        <f>SUM(E19:E28)</f>
        <v>125145521</v>
      </c>
      <c r="F18" s="312"/>
      <c r="G18" s="793" t="s">
        <v>402</v>
      </c>
      <c r="H18" s="796"/>
      <c r="I18" s="794"/>
      <c r="J18" s="378">
        <f t="shared" si="1"/>
        <v>8941331</v>
      </c>
    </row>
    <row r="19" spans="1:10" s="379" customFormat="1" ht="16.5">
      <c r="A19" s="304"/>
      <c r="B19" s="377" t="s">
        <v>403</v>
      </c>
      <c r="C19" s="362">
        <v>113077795</v>
      </c>
      <c r="D19" s="362"/>
      <c r="E19" s="369">
        <f>C19+D19</f>
        <v>113077795</v>
      </c>
      <c r="F19" s="311"/>
      <c r="G19" s="305"/>
      <c r="H19" s="796" t="s">
        <v>404</v>
      </c>
      <c r="I19" s="794"/>
      <c r="J19" s="378">
        <f t="shared" si="1"/>
        <v>0</v>
      </c>
    </row>
    <row r="20" spans="1:10" s="379" customFormat="1" ht="16.5">
      <c r="A20" s="304"/>
      <c r="B20" s="377" t="s">
        <v>405</v>
      </c>
      <c r="C20" s="362">
        <v>2577153</v>
      </c>
      <c r="D20" s="362">
        <v>362740</v>
      </c>
      <c r="E20" s="369">
        <f>C20+D20</f>
        <v>2939893</v>
      </c>
      <c r="F20" s="311"/>
      <c r="G20" s="305"/>
      <c r="H20" s="376" t="s">
        <v>406</v>
      </c>
      <c r="I20" s="377"/>
      <c r="J20" s="378"/>
    </row>
    <row r="21" spans="1:10" s="379" customFormat="1" ht="16.5">
      <c r="A21" s="304"/>
      <c r="B21" s="377" t="s">
        <v>407</v>
      </c>
      <c r="C21" s="362">
        <v>314618</v>
      </c>
      <c r="D21" s="362">
        <v>-314618</v>
      </c>
      <c r="E21" s="369">
        <f t="shared" ref="E21:E33" si="3">C21+D21</f>
        <v>0</v>
      </c>
      <c r="F21" s="311"/>
      <c r="G21" s="305"/>
      <c r="H21" s="376"/>
      <c r="I21" s="377"/>
      <c r="J21" s="378"/>
    </row>
    <row r="22" spans="1:10" s="379" customFormat="1" ht="16.5">
      <c r="A22" s="304"/>
      <c r="B22" s="377" t="s">
        <v>408</v>
      </c>
      <c r="C22" s="362">
        <v>8400</v>
      </c>
      <c r="D22" s="362">
        <v>-8400</v>
      </c>
      <c r="E22" s="369">
        <f t="shared" si="3"/>
        <v>0</v>
      </c>
      <c r="F22" s="311"/>
      <c r="G22" s="305"/>
      <c r="H22" s="376"/>
      <c r="I22" s="377"/>
      <c r="J22" s="378"/>
    </row>
    <row r="23" spans="1:10" s="379" customFormat="1" ht="16.5" hidden="1">
      <c r="A23" s="304"/>
      <c r="B23" s="377" t="s">
        <v>409</v>
      </c>
      <c r="C23" s="362"/>
      <c r="D23" s="362"/>
      <c r="E23" s="369">
        <f t="shared" si="3"/>
        <v>0</v>
      </c>
      <c r="F23" s="311"/>
      <c r="G23" s="305"/>
      <c r="H23" s="376"/>
      <c r="I23" s="377"/>
      <c r="J23" s="378"/>
    </row>
    <row r="24" spans="1:10" s="379" customFormat="1" ht="33">
      <c r="A24" s="304"/>
      <c r="B24" s="377" t="s">
        <v>410</v>
      </c>
      <c r="C24" s="362">
        <v>39722</v>
      </c>
      <c r="D24" s="362">
        <v>-39722</v>
      </c>
      <c r="E24" s="369">
        <f t="shared" si="3"/>
        <v>0</v>
      </c>
      <c r="F24" s="311"/>
      <c r="G24" s="305"/>
      <c r="H24" s="376"/>
      <c r="I24" s="377"/>
      <c r="J24" s="378"/>
    </row>
    <row r="25" spans="1:10" s="379" customFormat="1" ht="16.5">
      <c r="A25" s="304"/>
      <c r="B25" s="377"/>
      <c r="C25" s="362"/>
      <c r="D25" s="362">
        <v>120508</v>
      </c>
      <c r="E25" s="369">
        <f t="shared" si="3"/>
        <v>120508</v>
      </c>
      <c r="F25" s="311"/>
      <c r="G25" s="305"/>
      <c r="H25" s="376" t="s">
        <v>411</v>
      </c>
      <c r="I25" s="377"/>
      <c r="J25" s="378"/>
    </row>
    <row r="26" spans="1:10" s="379" customFormat="1" ht="33">
      <c r="A26" s="304"/>
      <c r="B26" s="377" t="s">
        <v>449</v>
      </c>
      <c r="C26" s="362">
        <v>128248</v>
      </c>
      <c r="D26" s="362">
        <v>-128248</v>
      </c>
      <c r="E26" s="369"/>
      <c r="F26" s="311"/>
      <c r="G26" s="305"/>
      <c r="H26" s="376"/>
      <c r="I26" s="377"/>
      <c r="J26" s="378"/>
    </row>
    <row r="27" spans="1:10" s="379" customFormat="1" ht="16.5">
      <c r="A27" s="304"/>
      <c r="B27" s="314"/>
      <c r="C27" s="362"/>
      <c r="D27" s="362">
        <v>8811978</v>
      </c>
      <c r="E27" s="369">
        <f t="shared" si="3"/>
        <v>8811978</v>
      </c>
      <c r="F27" s="311"/>
      <c r="G27" s="305"/>
      <c r="H27" s="796" t="s">
        <v>412</v>
      </c>
      <c r="I27" s="794"/>
      <c r="J27" s="378">
        <f t="shared" si="1"/>
        <v>8811978</v>
      </c>
    </row>
    <row r="28" spans="1:10" s="379" customFormat="1" ht="16.5">
      <c r="A28" s="304"/>
      <c r="B28" s="314" t="s">
        <v>413</v>
      </c>
      <c r="C28" s="362">
        <v>58254</v>
      </c>
      <c r="D28" s="362">
        <v>137093</v>
      </c>
      <c r="E28" s="369">
        <f t="shared" si="3"/>
        <v>195347</v>
      </c>
      <c r="F28" s="311"/>
      <c r="G28" s="305"/>
      <c r="H28" s="376" t="s">
        <v>414</v>
      </c>
      <c r="I28" s="377"/>
      <c r="J28" s="378"/>
    </row>
    <row r="29" spans="1:10" s="379" customFormat="1" ht="16.5">
      <c r="A29" s="792" t="s">
        <v>316</v>
      </c>
      <c r="B29" s="792"/>
      <c r="C29" s="368">
        <f>C13-C18</f>
        <v>-786754</v>
      </c>
      <c r="D29" s="368">
        <f>D13-D18</f>
        <v>-7327727</v>
      </c>
      <c r="E29" s="368">
        <f>E13-E18</f>
        <v>-8114481</v>
      </c>
      <c r="F29" s="311"/>
      <c r="G29" s="798" t="s">
        <v>316</v>
      </c>
      <c r="H29" s="799"/>
      <c r="I29" s="800"/>
      <c r="J29" s="378">
        <f t="shared" si="1"/>
        <v>-7327727</v>
      </c>
    </row>
    <row r="30" spans="1:10" s="379" customFormat="1" ht="16.5">
      <c r="A30" s="792" t="s">
        <v>24</v>
      </c>
      <c r="B30" s="792"/>
      <c r="C30" s="410">
        <f>[2]對照表!$C33</f>
        <v>8616300</v>
      </c>
      <c r="D30" s="410">
        <f>[2]對照表!$D33</f>
        <v>334494063</v>
      </c>
      <c r="E30" s="370">
        <f t="shared" si="3"/>
        <v>343110363</v>
      </c>
      <c r="F30" s="312"/>
      <c r="G30" s="798" t="s">
        <v>314</v>
      </c>
      <c r="H30" s="799"/>
      <c r="I30" s="800"/>
      <c r="J30" s="378">
        <f t="shared" si="1"/>
        <v>334494063</v>
      </c>
    </row>
    <row r="31" spans="1:10" s="379" customFormat="1" ht="16.5">
      <c r="A31" s="792" t="s">
        <v>315</v>
      </c>
      <c r="B31" s="792"/>
      <c r="C31" s="367"/>
      <c r="D31" s="367"/>
      <c r="E31" s="368">
        <f t="shared" si="3"/>
        <v>0</v>
      </c>
      <c r="F31" s="311"/>
      <c r="G31" s="798" t="s">
        <v>315</v>
      </c>
      <c r="H31" s="799"/>
      <c r="I31" s="800"/>
      <c r="J31" s="378">
        <f t="shared" si="1"/>
        <v>0</v>
      </c>
    </row>
    <row r="32" spans="1:10" s="379" customFormat="1" ht="16.5">
      <c r="A32" s="433"/>
      <c r="B32" s="434"/>
      <c r="C32" s="367"/>
      <c r="D32" s="367">
        <f>VLOOKUP(G32,平衡!$N$13:T90,7,0)</f>
        <v>0</v>
      </c>
      <c r="E32" s="368">
        <f t="shared" si="3"/>
        <v>0</v>
      </c>
      <c r="F32" s="311"/>
      <c r="G32" s="798" t="s">
        <v>437</v>
      </c>
      <c r="H32" s="805"/>
      <c r="I32" s="806"/>
      <c r="J32" s="378"/>
    </row>
    <row r="33" spans="1:10" s="379" customFormat="1" ht="16.5">
      <c r="A33" s="801" t="s">
        <v>26</v>
      </c>
      <c r="B33" s="801"/>
      <c r="C33" s="371">
        <f>C29+C30-C31</f>
        <v>7829546</v>
      </c>
      <c r="D33" s="371">
        <f>D29+D30-D31+D32</f>
        <v>327166336</v>
      </c>
      <c r="E33" s="371">
        <f t="shared" si="3"/>
        <v>334995882</v>
      </c>
      <c r="F33" s="313"/>
      <c r="G33" s="802" t="s">
        <v>317</v>
      </c>
      <c r="H33" s="803"/>
      <c r="I33" s="804"/>
      <c r="J33" s="378">
        <f t="shared" si="1"/>
        <v>327166336</v>
      </c>
    </row>
    <row r="34" spans="1:10" s="378" customFormat="1" ht="12.75" hidden="1" customHeight="1">
      <c r="A34" s="379"/>
      <c r="B34" s="379"/>
      <c r="C34" s="379"/>
      <c r="D34" s="379"/>
      <c r="E34" s="379"/>
      <c r="F34" s="379"/>
      <c r="G34" s="379"/>
      <c r="H34" s="379"/>
    </row>
    <row r="35" spans="1:10" s="379" customFormat="1" ht="19.5" customHeight="1">
      <c r="A35" s="306" t="s">
        <v>415</v>
      </c>
    </row>
  </sheetData>
  <mergeCells count="28">
    <mergeCell ref="A30:B30"/>
    <mergeCell ref="G30:I30"/>
    <mergeCell ref="A31:B31"/>
    <mergeCell ref="G31:I31"/>
    <mergeCell ref="A33:B33"/>
    <mergeCell ref="G33:I33"/>
    <mergeCell ref="G32:I32"/>
    <mergeCell ref="H17:I17"/>
    <mergeCell ref="H16:I16"/>
    <mergeCell ref="G18:I18"/>
    <mergeCell ref="H19:I19"/>
    <mergeCell ref="H27:I27"/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A26" sqref="A26:XFD26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808" t="str">
        <f>封面!$A$4</f>
        <v>彰化縣地方教育發展基金－彰化縣彰化市民生國民小學</v>
      </c>
      <c r="B1" s="809"/>
      <c r="C1" s="809"/>
    </row>
    <row r="2" spans="1:5" ht="25.5" customHeight="1">
      <c r="A2" s="810" t="s">
        <v>70</v>
      </c>
      <c r="B2" s="810"/>
      <c r="C2" s="810"/>
    </row>
    <row r="3" spans="1:5" ht="24" customHeight="1">
      <c r="A3" s="811" t="str">
        <f>封面!$E$10&amp;封面!$H$10&amp;封面!$I$10&amp;封面!$J$10&amp;封面!$K$10&amp;封面!$O$10&amp;"日"</f>
        <v>中華民國114年9月30日</v>
      </c>
      <c r="B3" s="811"/>
      <c r="C3" s="811"/>
    </row>
    <row r="4" spans="1:5" s="24" customFormat="1" ht="23.25" customHeight="1">
      <c r="A4" s="812"/>
      <c r="B4" s="812" t="s">
        <v>71</v>
      </c>
      <c r="C4" s="812"/>
    </row>
    <row r="5" spans="1:5" s="24" customFormat="1" ht="23.25" customHeight="1">
      <c r="A5" s="812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7769546</v>
      </c>
    </row>
    <row r="7" spans="1:5" ht="24" customHeight="1">
      <c r="A7" s="190" t="s">
        <v>192</v>
      </c>
      <c r="B7" s="97">
        <f>VLOOKUP("銀行存款-縣庫存款",平衡!$E$13:$H$90,4,0)</f>
        <v>7769546</v>
      </c>
      <c r="C7" s="97"/>
    </row>
    <row r="8" spans="1:5" ht="24" customHeight="1">
      <c r="A8" s="90" t="s">
        <v>151</v>
      </c>
      <c r="B8" s="97"/>
      <c r="C8" s="329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/>
      <c r="B11" s="97"/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6"/>
      <c r="D13" s="317"/>
      <c r="E13" s="317"/>
    </row>
    <row r="14" spans="1:5" ht="24" customHeight="1">
      <c r="A14" s="191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9534000</v>
      </c>
      <c r="D15" s="317"/>
      <c r="E15" s="317"/>
    </row>
    <row r="16" spans="1:5" ht="24" customHeight="1">
      <c r="A16" s="242" t="str">
        <f>IF(B16&gt;0,封面!J10+1&amp;"月公庫撥款收入","")</f>
        <v>10月公庫撥款收入</v>
      </c>
      <c r="B16" s="97">
        <v>9534000</v>
      </c>
      <c r="C16" s="316"/>
      <c r="D16" s="317"/>
      <c r="E16" s="317"/>
    </row>
    <row r="17" spans="1:5" ht="24" customHeight="1">
      <c r="A17" s="190"/>
      <c r="B17" s="97"/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17303546</v>
      </c>
      <c r="D24" s="22">
        <f>VLOOKUP(1,縣庫對帳!$A$4:$L$100,12)</f>
        <v>17303546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807"/>
      <c r="B27" s="807"/>
      <c r="C27" s="807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D24">
    <cfRule type="cellIs" dxfId="12" priority="1" operator="notEqual">
      <formula>$C$24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C29" sqref="C29"/>
      <selection pane="topRight" activeCell="C29" sqref="C29"/>
      <selection pane="bottomLeft" activeCell="C29" sqref="C29"/>
      <selection pane="bottomRight" activeCell="A22" sqref="A22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8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813" t="s">
        <v>447</v>
      </c>
      <c r="C1" s="813"/>
      <c r="D1" s="813"/>
      <c r="E1" s="813"/>
      <c r="F1" s="813"/>
      <c r="G1" s="813"/>
      <c r="H1" s="813"/>
      <c r="I1" s="813"/>
      <c r="J1" s="813"/>
      <c r="K1" s="813"/>
      <c r="L1" s="813"/>
      <c r="M1" s="128"/>
      <c r="N1" s="46"/>
      <c r="O1" s="46"/>
      <c r="P1" s="46"/>
      <c r="Q1" s="404"/>
      <c r="R1" s="46"/>
      <c r="S1" s="46"/>
      <c r="T1" s="46"/>
      <c r="U1" s="46"/>
      <c r="V1" s="47"/>
    </row>
    <row r="2" spans="1:22" s="48" customFormat="1" ht="33">
      <c r="A2" s="128"/>
      <c r="B2" s="814" t="str">
        <f>封面!$E$10&amp;封面!$H$10&amp;封面!$I$10&amp;封面!$J$10&amp;封面!$K$10&amp;封面!L10</f>
        <v>中華民國114年9月份</v>
      </c>
      <c r="C2" s="814"/>
      <c r="D2" s="814"/>
      <c r="E2" s="814"/>
      <c r="F2" s="814"/>
      <c r="G2" s="814"/>
      <c r="H2" s="814"/>
      <c r="I2" s="814"/>
      <c r="J2" s="814"/>
      <c r="K2" s="814"/>
      <c r="L2" s="814"/>
      <c r="M2" s="129"/>
      <c r="N2" s="134" t="s">
        <v>157</v>
      </c>
      <c r="O2" s="134"/>
      <c r="P2" s="134" t="s">
        <v>156</v>
      </c>
      <c r="Q2" s="405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115417436</v>
      </c>
      <c r="O3" s="168"/>
      <c r="P3" s="168">
        <f>VLOOKUP(1,$A$4:$L$98,11,0)-P4+P5-P6+P7-P8-P9</f>
        <v>116204190</v>
      </c>
      <c r="Q3" s="58"/>
    </row>
    <row r="4" spans="1:22">
      <c r="B4" s="158" t="s">
        <v>709</v>
      </c>
      <c r="C4" s="159" t="s">
        <v>710</v>
      </c>
      <c r="D4" s="159" t="s">
        <v>944</v>
      </c>
      <c r="E4" s="159" t="s">
        <v>944</v>
      </c>
      <c r="F4" s="159" t="s">
        <v>944</v>
      </c>
      <c r="G4" s="159" t="s">
        <v>944</v>
      </c>
      <c r="H4" s="159" t="s">
        <v>711</v>
      </c>
      <c r="I4" s="160" t="s">
        <v>944</v>
      </c>
      <c r="J4" s="160">
        <v>124651575</v>
      </c>
      <c r="K4" s="160">
        <v>96920746</v>
      </c>
      <c r="L4" s="160">
        <v>27730829</v>
      </c>
      <c r="M4" s="189" t="s">
        <v>184</v>
      </c>
      <c r="N4" s="169">
        <v>9234139</v>
      </c>
      <c r="O4" s="170" t="s">
        <v>185</v>
      </c>
      <c r="P4" s="171">
        <f>VLOOKUP("零用及週轉金",平衡!$D$13:$H$91,5,0)</f>
        <v>60000</v>
      </c>
      <c r="Q4" s="406"/>
    </row>
    <row r="5" spans="1:22">
      <c r="B5" s="158" t="s">
        <v>709</v>
      </c>
      <c r="C5" s="159" t="s">
        <v>710</v>
      </c>
      <c r="D5" s="159" t="s">
        <v>712</v>
      </c>
      <c r="E5" s="159" t="s">
        <v>945</v>
      </c>
      <c r="F5" s="159" t="s">
        <v>946</v>
      </c>
      <c r="G5" s="159" t="s">
        <v>944</v>
      </c>
      <c r="H5" s="159" t="s">
        <v>713</v>
      </c>
      <c r="I5" s="160">
        <v>190740</v>
      </c>
      <c r="J5" s="160">
        <v>124651575</v>
      </c>
      <c r="K5" s="160">
        <v>97111486</v>
      </c>
      <c r="L5" s="160">
        <v>27540089</v>
      </c>
      <c r="M5" s="170" t="s">
        <v>186</v>
      </c>
      <c r="N5" s="171">
        <f>-庫款差額!C15+庫款差額!C18</f>
        <v>-9534000</v>
      </c>
      <c r="O5" s="170" t="s">
        <v>186</v>
      </c>
      <c r="P5" s="171">
        <f>庫款差額!C8-庫款差額!C21</f>
        <v>0</v>
      </c>
      <c r="Q5" s="406"/>
    </row>
    <row r="6" spans="1:22" ht="22.5">
      <c r="B6" s="158" t="s">
        <v>709</v>
      </c>
      <c r="C6" s="159" t="s">
        <v>710</v>
      </c>
      <c r="D6" s="159" t="s">
        <v>714</v>
      </c>
      <c r="E6" s="158" t="s">
        <v>715</v>
      </c>
      <c r="F6" s="158" t="s">
        <v>716</v>
      </c>
      <c r="G6" s="159" t="s">
        <v>944</v>
      </c>
      <c r="H6" s="159" t="s">
        <v>713</v>
      </c>
      <c r="I6" s="160">
        <v>10847490</v>
      </c>
      <c r="J6" s="160">
        <v>124651575</v>
      </c>
      <c r="K6" s="160">
        <v>107958976</v>
      </c>
      <c r="L6" s="160">
        <v>16692599</v>
      </c>
      <c r="M6" s="99"/>
      <c r="N6" s="172"/>
      <c r="O6" s="173" t="s">
        <v>190</v>
      </c>
      <c r="P6" s="171">
        <v>617839</v>
      </c>
      <c r="Q6" s="406"/>
    </row>
    <row r="7" spans="1:22" ht="22.5">
      <c r="B7" s="158" t="s">
        <v>709</v>
      </c>
      <c r="C7" s="159" t="s">
        <v>710</v>
      </c>
      <c r="D7" s="159" t="s">
        <v>717</v>
      </c>
      <c r="E7" s="158" t="s">
        <v>718</v>
      </c>
      <c r="F7" s="158" t="s">
        <v>719</v>
      </c>
      <c r="G7" s="159" t="s">
        <v>944</v>
      </c>
      <c r="H7" s="159" t="s">
        <v>713</v>
      </c>
      <c r="I7" s="160">
        <v>29285</v>
      </c>
      <c r="J7" s="160">
        <v>124651575</v>
      </c>
      <c r="K7" s="160">
        <v>107988261</v>
      </c>
      <c r="L7" s="160">
        <v>16663314</v>
      </c>
      <c r="M7" s="99"/>
      <c r="N7" s="172"/>
      <c r="O7" s="173" t="s">
        <v>191</v>
      </c>
      <c r="P7" s="171">
        <f>IF(Q7=0,0,VLOOKUP("應付費用",平衡!$N$13:$T$90,7,0))</f>
        <v>0</v>
      </c>
      <c r="Q7" s="406">
        <v>1</v>
      </c>
    </row>
    <row r="8" spans="1:22">
      <c r="B8" s="158" t="s">
        <v>709</v>
      </c>
      <c r="C8" s="159" t="s">
        <v>710</v>
      </c>
      <c r="D8" s="159" t="s">
        <v>717</v>
      </c>
      <c r="E8" s="158" t="s">
        <v>720</v>
      </c>
      <c r="F8" s="158" t="s">
        <v>721</v>
      </c>
      <c r="G8" s="159" t="s">
        <v>944</v>
      </c>
      <c r="H8" s="159" t="s">
        <v>713</v>
      </c>
      <c r="I8" s="160">
        <v>16000</v>
      </c>
      <c r="J8" s="160">
        <v>124651575</v>
      </c>
      <c r="K8" s="160">
        <v>108004261</v>
      </c>
      <c r="L8" s="160">
        <v>16647314</v>
      </c>
      <c r="M8" s="99"/>
      <c r="N8" s="172"/>
      <c r="O8" s="171" t="s">
        <v>438</v>
      </c>
      <c r="P8" s="171">
        <f>IFERROR(VLOOKUP("預付費用",平衡!$D$13:$H$81,5,0),0)</f>
        <v>0</v>
      </c>
      <c r="Q8" s="406"/>
    </row>
    <row r="9" spans="1:22">
      <c r="B9" s="158" t="s">
        <v>709</v>
      </c>
      <c r="C9" s="159" t="s">
        <v>710</v>
      </c>
      <c r="D9" s="159" t="s">
        <v>717</v>
      </c>
      <c r="E9" s="158" t="s">
        <v>722</v>
      </c>
      <c r="F9" s="158" t="s">
        <v>723</v>
      </c>
      <c r="G9" s="159" t="s">
        <v>944</v>
      </c>
      <c r="H9" s="159" t="s">
        <v>713</v>
      </c>
      <c r="I9" s="160">
        <v>24480</v>
      </c>
      <c r="J9" s="160">
        <v>124651575</v>
      </c>
      <c r="K9" s="160">
        <v>108028741</v>
      </c>
      <c r="L9" s="160">
        <v>16622834</v>
      </c>
      <c r="M9" s="99"/>
      <c r="N9" s="27"/>
      <c r="O9" s="171" t="s">
        <v>187</v>
      </c>
      <c r="P9" s="171"/>
      <c r="Q9" s="406"/>
    </row>
    <row r="10" spans="1:22">
      <c r="B10" s="158" t="s">
        <v>709</v>
      </c>
      <c r="C10" s="159" t="s">
        <v>710</v>
      </c>
      <c r="D10" s="159" t="s">
        <v>717</v>
      </c>
      <c r="E10" s="158" t="s">
        <v>724</v>
      </c>
      <c r="F10" s="158" t="s">
        <v>725</v>
      </c>
      <c r="G10" s="159" t="s">
        <v>944</v>
      </c>
      <c r="H10" s="159" t="s">
        <v>713</v>
      </c>
      <c r="I10" s="160">
        <v>57802</v>
      </c>
      <c r="J10" s="160">
        <v>124651575</v>
      </c>
      <c r="K10" s="160">
        <v>108086543</v>
      </c>
      <c r="L10" s="160">
        <v>16565032</v>
      </c>
      <c r="M10" s="99"/>
      <c r="N10" s="27"/>
      <c r="O10" s="27"/>
      <c r="P10" s="27"/>
      <c r="Q10" s="406"/>
    </row>
    <row r="11" spans="1:22">
      <c r="B11" s="158" t="s">
        <v>709</v>
      </c>
      <c r="C11" s="159" t="s">
        <v>710</v>
      </c>
      <c r="D11" s="159" t="s">
        <v>717</v>
      </c>
      <c r="E11" s="158" t="s">
        <v>726</v>
      </c>
      <c r="F11" s="158" t="s">
        <v>727</v>
      </c>
      <c r="G11" s="159" t="s">
        <v>944</v>
      </c>
      <c r="H11" s="159" t="s">
        <v>713</v>
      </c>
      <c r="I11" s="160">
        <v>52174</v>
      </c>
      <c r="J11" s="160">
        <v>124651575</v>
      </c>
      <c r="K11" s="160">
        <v>108138717</v>
      </c>
      <c r="L11" s="160">
        <v>16512858</v>
      </c>
      <c r="M11" s="99"/>
      <c r="N11" s="27"/>
      <c r="O11" s="27"/>
      <c r="P11" s="27"/>
      <c r="Q11" s="406"/>
    </row>
    <row r="12" spans="1:22">
      <c r="B12" s="158" t="s">
        <v>709</v>
      </c>
      <c r="C12" s="159" t="s">
        <v>710</v>
      </c>
      <c r="D12" s="159" t="s">
        <v>728</v>
      </c>
      <c r="E12" s="158" t="s">
        <v>729</v>
      </c>
      <c r="F12" s="158" t="s">
        <v>730</v>
      </c>
      <c r="G12" s="159" t="s">
        <v>944</v>
      </c>
      <c r="H12" s="159" t="s">
        <v>713</v>
      </c>
      <c r="I12" s="160">
        <v>61824</v>
      </c>
      <c r="J12" s="160">
        <v>124651575</v>
      </c>
      <c r="K12" s="160">
        <v>108200541</v>
      </c>
      <c r="L12" s="160">
        <v>16451034</v>
      </c>
      <c r="M12" s="99"/>
      <c r="N12" s="27"/>
      <c r="O12" s="27"/>
      <c r="P12" s="27"/>
      <c r="Q12" s="406"/>
    </row>
    <row r="13" spans="1:22">
      <c r="B13" s="158" t="s">
        <v>709</v>
      </c>
      <c r="C13" s="315" t="s">
        <v>710</v>
      </c>
      <c r="D13" s="315" t="s">
        <v>731</v>
      </c>
      <c r="E13" s="315" t="s">
        <v>947</v>
      </c>
      <c r="F13" s="158" t="s">
        <v>732</v>
      </c>
      <c r="G13" s="159" t="s">
        <v>944</v>
      </c>
      <c r="H13" s="159" t="s">
        <v>713</v>
      </c>
      <c r="I13" s="160">
        <v>12180</v>
      </c>
      <c r="J13" s="160">
        <v>124651575</v>
      </c>
      <c r="K13" s="160">
        <v>108212721</v>
      </c>
      <c r="L13" s="160">
        <v>16438854</v>
      </c>
      <c r="M13" s="99"/>
      <c r="N13" s="27"/>
      <c r="O13" s="27"/>
      <c r="P13" s="27"/>
      <c r="Q13" s="406"/>
    </row>
    <row r="14" spans="1:22">
      <c r="B14" s="158" t="s">
        <v>709</v>
      </c>
      <c r="C14" s="315" t="s">
        <v>710</v>
      </c>
      <c r="D14" s="315" t="s">
        <v>733</v>
      </c>
      <c r="E14" s="315" t="s">
        <v>948</v>
      </c>
      <c r="F14" s="158" t="s">
        <v>734</v>
      </c>
      <c r="G14" s="159" t="s">
        <v>944</v>
      </c>
      <c r="H14" s="159" t="s">
        <v>713</v>
      </c>
      <c r="I14" s="160">
        <v>12994</v>
      </c>
      <c r="J14" s="160">
        <v>124651575</v>
      </c>
      <c r="K14" s="160">
        <v>108225715</v>
      </c>
      <c r="L14" s="160">
        <v>16425860</v>
      </c>
      <c r="M14" s="99"/>
      <c r="N14" s="27"/>
      <c r="O14" s="27"/>
      <c r="P14" s="27"/>
      <c r="Q14" s="406"/>
    </row>
    <row r="15" spans="1:22">
      <c r="B15" s="158" t="s">
        <v>709</v>
      </c>
      <c r="C15" s="315" t="s">
        <v>710</v>
      </c>
      <c r="D15" s="315" t="s">
        <v>735</v>
      </c>
      <c r="E15" s="315" t="s">
        <v>949</v>
      </c>
      <c r="F15" s="158" t="s">
        <v>736</v>
      </c>
      <c r="G15" s="159" t="s">
        <v>944</v>
      </c>
      <c r="H15" s="159" t="s">
        <v>713</v>
      </c>
      <c r="I15" s="160">
        <v>507958</v>
      </c>
      <c r="J15" s="160">
        <v>124651575</v>
      </c>
      <c r="K15" s="160">
        <v>108733673</v>
      </c>
      <c r="L15" s="160">
        <v>15917902</v>
      </c>
      <c r="M15" s="99"/>
      <c r="N15" s="27"/>
      <c r="O15" s="27"/>
      <c r="P15" s="27"/>
      <c r="Q15" s="406"/>
    </row>
    <row r="16" spans="1:22">
      <c r="B16" s="158" t="s">
        <v>709</v>
      </c>
      <c r="C16" s="315" t="s">
        <v>710</v>
      </c>
      <c r="D16" s="315" t="s">
        <v>737</v>
      </c>
      <c r="E16" s="315" t="s">
        <v>949</v>
      </c>
      <c r="F16" s="158" t="s">
        <v>738</v>
      </c>
      <c r="G16" s="159" t="s">
        <v>944</v>
      </c>
      <c r="H16" s="159" t="s">
        <v>739</v>
      </c>
      <c r="I16" s="160">
        <v>4733</v>
      </c>
      <c r="J16" s="160">
        <v>124651575</v>
      </c>
      <c r="K16" s="160">
        <v>108728940</v>
      </c>
      <c r="L16" s="160">
        <v>15922635</v>
      </c>
      <c r="M16" s="99"/>
      <c r="N16" s="27"/>
      <c r="O16" s="27"/>
      <c r="P16" s="27"/>
      <c r="Q16" s="406"/>
    </row>
    <row r="17" spans="1:19">
      <c r="B17" s="161" t="s">
        <v>709</v>
      </c>
      <c r="C17" s="328" t="s">
        <v>710</v>
      </c>
      <c r="D17" s="328" t="s">
        <v>737</v>
      </c>
      <c r="E17" s="328" t="s">
        <v>950</v>
      </c>
      <c r="F17" s="161" t="s">
        <v>740</v>
      </c>
      <c r="G17" s="162" t="s">
        <v>944</v>
      </c>
      <c r="H17" s="162" t="s">
        <v>713</v>
      </c>
      <c r="I17" s="162">
        <v>189177</v>
      </c>
      <c r="J17" s="162">
        <v>124651575</v>
      </c>
      <c r="K17" s="162">
        <v>108918117</v>
      </c>
      <c r="L17" s="162">
        <v>15733458</v>
      </c>
      <c r="M17" s="99"/>
      <c r="N17" s="27"/>
      <c r="O17" s="27"/>
      <c r="P17" s="27"/>
      <c r="Q17" s="406"/>
    </row>
    <row r="18" spans="1:19">
      <c r="B18" s="161" t="s">
        <v>709</v>
      </c>
      <c r="C18" s="328" t="s">
        <v>710</v>
      </c>
      <c r="D18" s="328" t="s">
        <v>741</v>
      </c>
      <c r="E18" s="328" t="s">
        <v>951</v>
      </c>
      <c r="F18" s="161" t="s">
        <v>742</v>
      </c>
      <c r="G18" s="162" t="s">
        <v>944</v>
      </c>
      <c r="H18" s="162" t="s">
        <v>713</v>
      </c>
      <c r="I18" s="162">
        <v>13750</v>
      </c>
      <c r="J18" s="162">
        <v>124651575</v>
      </c>
      <c r="K18" s="162">
        <v>108931867</v>
      </c>
      <c r="L18" s="162">
        <v>15719708</v>
      </c>
      <c r="M18" s="99"/>
      <c r="N18" s="27"/>
      <c r="O18" s="27"/>
      <c r="P18" s="27"/>
      <c r="Q18" s="406"/>
      <c r="S18" s="55"/>
    </row>
    <row r="19" spans="1:19" s="188" customFormat="1">
      <c r="A19" s="185"/>
      <c r="B19" s="161" t="s">
        <v>709</v>
      </c>
      <c r="C19" s="328" t="s">
        <v>710</v>
      </c>
      <c r="D19" s="328" t="s">
        <v>743</v>
      </c>
      <c r="E19" s="328" t="s">
        <v>952</v>
      </c>
      <c r="F19" s="161" t="s">
        <v>944</v>
      </c>
      <c r="G19" s="162">
        <v>9534000</v>
      </c>
      <c r="H19" s="162" t="s">
        <v>953</v>
      </c>
      <c r="I19" s="162" t="s">
        <v>944</v>
      </c>
      <c r="J19" s="162">
        <v>134185575</v>
      </c>
      <c r="K19" s="162">
        <v>108931867</v>
      </c>
      <c r="L19" s="162">
        <v>25253708</v>
      </c>
      <c r="M19" s="186"/>
      <c r="N19" s="187"/>
      <c r="O19" s="27"/>
      <c r="P19" s="27"/>
      <c r="Q19" s="407"/>
    </row>
    <row r="20" spans="1:19" s="188" customFormat="1" ht="14.25">
      <c r="A20" s="185"/>
      <c r="B20" s="161" t="s">
        <v>709</v>
      </c>
      <c r="C20" s="328" t="s">
        <v>710</v>
      </c>
      <c r="D20" s="328" t="s">
        <v>743</v>
      </c>
      <c r="E20" s="328" t="s">
        <v>954</v>
      </c>
      <c r="F20" s="161" t="s">
        <v>744</v>
      </c>
      <c r="G20" s="162" t="s">
        <v>944</v>
      </c>
      <c r="H20" s="162" t="s">
        <v>713</v>
      </c>
      <c r="I20" s="162">
        <v>7070054</v>
      </c>
      <c r="J20" s="162">
        <v>134185575</v>
      </c>
      <c r="K20" s="162">
        <v>116001921</v>
      </c>
      <c r="L20" s="162">
        <v>18183654</v>
      </c>
      <c r="M20" s="186"/>
      <c r="N20" s="187"/>
      <c r="O20" s="187"/>
      <c r="P20" s="187"/>
      <c r="Q20" s="407"/>
    </row>
    <row r="21" spans="1:19" s="188" customFormat="1" ht="14.25">
      <c r="A21" s="185">
        <v>1</v>
      </c>
      <c r="B21" s="161" t="s">
        <v>709</v>
      </c>
      <c r="C21" s="328" t="s">
        <v>710</v>
      </c>
      <c r="D21" s="328" t="s">
        <v>743</v>
      </c>
      <c r="E21" s="328" t="s">
        <v>955</v>
      </c>
      <c r="F21" s="161" t="s">
        <v>745</v>
      </c>
      <c r="G21" s="162" t="s">
        <v>944</v>
      </c>
      <c r="H21" s="162" t="s">
        <v>713</v>
      </c>
      <c r="I21" s="162">
        <v>880108</v>
      </c>
      <c r="J21" s="162">
        <v>134185575</v>
      </c>
      <c r="K21" s="162">
        <v>116882029</v>
      </c>
      <c r="L21" s="162">
        <v>17303546</v>
      </c>
      <c r="M21" s="186"/>
      <c r="N21" s="187"/>
      <c r="O21" s="187"/>
      <c r="P21" s="187"/>
      <c r="Q21" s="407"/>
    </row>
    <row r="22" spans="1:19" s="188" customFormat="1" ht="14.25">
      <c r="A22" s="185"/>
      <c r="B22" s="161" t="s">
        <v>944</v>
      </c>
      <c r="C22" s="328" t="s">
        <v>746</v>
      </c>
      <c r="D22" s="328" t="s">
        <v>944</v>
      </c>
      <c r="E22" s="328" t="s">
        <v>944</v>
      </c>
      <c r="F22" s="504" t="s">
        <v>944</v>
      </c>
      <c r="G22" s="162">
        <v>9534000</v>
      </c>
      <c r="H22" s="162" t="s">
        <v>944</v>
      </c>
      <c r="I22" s="162">
        <v>19961283</v>
      </c>
      <c r="J22" s="162" t="s">
        <v>944</v>
      </c>
      <c r="K22" s="162" t="s">
        <v>944</v>
      </c>
      <c r="L22" s="162" t="s">
        <v>944</v>
      </c>
      <c r="M22" s="186"/>
      <c r="N22" s="187"/>
      <c r="O22" s="187"/>
      <c r="P22" s="187"/>
      <c r="Q22" s="407"/>
    </row>
    <row r="23" spans="1:19">
      <c r="B23" s="161"/>
      <c r="C23" s="161"/>
      <c r="D23" s="161"/>
      <c r="E23" s="504"/>
      <c r="F23" s="504"/>
      <c r="G23" s="162"/>
      <c r="H23" s="162"/>
      <c r="I23" s="162"/>
      <c r="J23" s="162"/>
      <c r="K23" s="162"/>
      <c r="L23" s="162"/>
      <c r="M23" s="99"/>
      <c r="N23" s="27"/>
      <c r="O23" s="187"/>
      <c r="P23" s="187"/>
      <c r="Q23" s="406"/>
    </row>
    <row r="24" spans="1:19">
      <c r="B24" s="161"/>
      <c r="C24" s="161"/>
      <c r="D24" s="161"/>
      <c r="E24" s="504"/>
      <c r="F24" s="504"/>
      <c r="G24" s="162"/>
      <c r="H24" s="162"/>
      <c r="I24" s="162"/>
      <c r="J24" s="162"/>
      <c r="K24" s="162"/>
      <c r="L24" s="162"/>
      <c r="M24" s="99"/>
      <c r="N24" s="27"/>
      <c r="O24" s="27"/>
      <c r="P24" s="27"/>
      <c r="Q24" s="406"/>
    </row>
    <row r="25" spans="1:19">
      <c r="B25" s="161"/>
      <c r="C25" s="161"/>
      <c r="D25" s="161"/>
      <c r="E25" s="504"/>
      <c r="F25" s="504"/>
      <c r="G25" s="162"/>
      <c r="H25" s="162"/>
      <c r="I25" s="162"/>
      <c r="J25" s="162"/>
      <c r="K25" s="162"/>
      <c r="L25" s="162"/>
      <c r="M25" s="99"/>
      <c r="N25" s="27"/>
      <c r="O25" s="27"/>
      <c r="P25" s="27"/>
      <c r="Q25" s="406"/>
    </row>
    <row r="26" spans="1:19">
      <c r="B26" s="161"/>
      <c r="C26" s="161"/>
      <c r="D26" s="161"/>
      <c r="E26" s="504"/>
      <c r="F26" s="504"/>
      <c r="G26" s="162"/>
      <c r="H26" s="162"/>
      <c r="I26" s="162"/>
      <c r="J26" s="162"/>
      <c r="K26" s="162"/>
      <c r="L26" s="162"/>
      <c r="M26" s="44"/>
      <c r="N26" s="27"/>
      <c r="O26" s="27"/>
      <c r="P26" s="27"/>
      <c r="Q26" s="406"/>
    </row>
    <row r="27" spans="1:19">
      <c r="B27" s="161"/>
      <c r="C27" s="161"/>
      <c r="D27" s="161"/>
      <c r="E27" s="504"/>
      <c r="F27" s="504"/>
      <c r="G27" s="162"/>
      <c r="H27" s="162"/>
      <c r="I27" s="162"/>
      <c r="J27" s="162"/>
      <c r="K27" s="162"/>
      <c r="L27" s="162"/>
      <c r="M27" s="44"/>
      <c r="N27" s="27"/>
      <c r="O27" s="27"/>
      <c r="P27" s="27"/>
      <c r="Q27" s="406"/>
    </row>
    <row r="28" spans="1:19">
      <c r="B28" s="161"/>
      <c r="C28" s="161"/>
      <c r="D28" s="161"/>
      <c r="E28" s="504"/>
      <c r="F28" s="504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6"/>
    </row>
    <row r="29" spans="1:19">
      <c r="B29" s="161"/>
      <c r="C29" s="161"/>
      <c r="D29" s="161"/>
      <c r="E29" s="504"/>
      <c r="F29" s="504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6"/>
    </row>
    <row r="30" spans="1:19">
      <c r="B30" s="161"/>
      <c r="C30" s="161"/>
      <c r="D30" s="161"/>
      <c r="E30" s="504"/>
      <c r="F30" s="504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6"/>
    </row>
    <row r="31" spans="1:19">
      <c r="B31" s="161"/>
      <c r="C31" s="161"/>
      <c r="D31" s="161"/>
      <c r="E31" s="504"/>
      <c r="F31" s="504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6"/>
    </row>
    <row r="32" spans="1:19">
      <c r="B32" s="161"/>
      <c r="C32" s="161"/>
      <c r="D32" s="161"/>
      <c r="E32" s="504"/>
      <c r="F32" s="504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6"/>
    </row>
    <row r="33" spans="2:17">
      <c r="B33" s="161"/>
      <c r="C33" s="161"/>
      <c r="D33" s="161"/>
      <c r="E33" s="504"/>
      <c r="F33" s="504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6"/>
    </row>
    <row r="34" spans="2:17">
      <c r="B34" s="161"/>
      <c r="C34" s="161"/>
      <c r="D34" s="161"/>
      <c r="E34" s="504"/>
      <c r="F34" s="504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6"/>
    </row>
    <row r="35" spans="2:17">
      <c r="B35" s="161"/>
      <c r="C35" s="161"/>
      <c r="D35" s="161"/>
      <c r="E35" s="504"/>
      <c r="F35" s="504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6"/>
    </row>
    <row r="36" spans="2:17">
      <c r="B36" s="161"/>
      <c r="C36" s="161"/>
      <c r="D36" s="161"/>
      <c r="E36" s="504"/>
      <c r="F36" s="504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6"/>
    </row>
    <row r="37" spans="2:17">
      <c r="B37" s="161"/>
      <c r="C37" s="161"/>
      <c r="D37" s="161"/>
      <c r="E37" s="504"/>
      <c r="F37" s="504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6"/>
    </row>
    <row r="38" spans="2:17">
      <c r="B38" s="161"/>
      <c r="C38" s="161"/>
      <c r="D38" s="161"/>
      <c r="E38" s="504"/>
      <c r="F38" s="504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6"/>
    </row>
    <row r="39" spans="2:17">
      <c r="B39" s="161"/>
      <c r="C39" s="161"/>
      <c r="D39" s="161"/>
      <c r="E39" s="504"/>
      <c r="F39" s="504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6"/>
    </row>
    <row r="40" spans="2:17">
      <c r="B40" s="161"/>
      <c r="C40" s="161"/>
      <c r="D40" s="161"/>
      <c r="E40" s="504"/>
      <c r="F40" s="504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6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6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6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6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6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6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6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6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6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6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6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6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6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6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6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6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6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6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6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6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6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6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6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6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6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6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6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6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6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6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6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6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6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6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6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6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6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6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6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6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6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6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6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6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6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6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6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6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6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6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6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6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6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6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6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6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6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6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6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6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6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6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6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6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6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6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6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6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6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6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6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6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6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6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6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6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6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6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6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6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6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6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6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6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6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6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6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6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6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6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6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6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6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6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6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6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6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6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6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6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6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6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6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6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6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6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6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6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6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6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6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6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6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6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6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6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6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6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6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6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6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6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6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6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6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6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6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6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6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6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6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6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6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6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6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6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6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6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6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6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6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6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6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6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6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6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6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6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6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6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6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6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6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6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6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6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6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6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6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6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6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6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6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6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6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6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6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6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6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6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6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6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6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6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6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6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6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6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6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6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6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6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6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6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6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6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6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6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6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6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6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6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6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6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6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6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6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6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6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6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6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6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6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6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6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6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6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6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6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6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6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6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6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6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6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6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6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6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6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6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6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6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6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6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6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6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6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6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6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6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6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6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6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6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6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6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6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6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6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6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6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6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6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6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6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6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6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6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6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6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6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6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6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6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6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6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6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6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6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6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6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6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6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6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6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6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6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6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6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6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6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6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6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6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6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6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6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6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6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6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6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6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6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6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6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6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6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6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6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6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6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6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6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6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6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6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6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6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6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6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6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6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6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6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6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6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6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6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6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6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6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6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6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6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6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6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6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6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6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6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6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6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6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6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6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6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6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6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6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6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6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6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6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6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6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6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6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6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6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6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6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6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6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6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6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6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6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6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6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6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6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6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6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6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6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6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6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6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6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6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6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6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6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6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6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6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6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6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6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6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6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6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6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6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6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6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6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6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6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6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6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6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6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6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6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6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6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6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6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6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6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6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6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6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6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6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6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6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6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6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6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6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6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6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6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6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6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6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6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6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6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6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6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6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6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6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6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6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6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6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6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6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6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6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6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6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6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6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6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6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6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6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6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6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6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6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6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6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6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6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6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6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6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6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6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6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6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6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6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6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6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6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6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6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6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6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6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6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6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6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6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6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6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6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6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6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6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6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6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6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6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6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6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6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6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6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6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6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6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6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6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6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6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6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6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6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6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6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6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6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6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6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6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6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6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6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6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6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6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6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6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6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6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6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6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6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6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6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6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6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6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6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6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6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6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6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6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6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6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6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6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6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6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6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6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6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6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6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6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6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6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6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6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6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6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6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6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6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6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6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6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6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6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6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6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6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6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6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6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6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6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6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6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6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6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6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6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6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6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6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6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6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6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6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6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6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6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6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6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6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6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6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6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6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6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6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6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6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6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6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6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6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6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6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6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6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6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6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6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6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6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6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6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6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6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6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6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6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6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6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6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6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6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6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6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6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6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6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6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6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6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6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6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6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6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6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6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6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6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6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6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6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6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6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6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6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6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6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6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6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6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6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6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6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6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6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6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6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6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6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6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6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6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6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6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6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6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6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6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6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6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6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6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6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6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6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6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6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6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6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6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6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6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6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6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6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6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6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6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6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6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6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6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6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6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6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6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6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6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6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6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6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6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6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6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6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6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6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6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6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6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6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6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6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6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6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6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6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6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6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6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6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6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6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6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6"/>
    </row>
    <row r="746" spans="2:17">
      <c r="M746" s="44"/>
      <c r="N746" s="27"/>
      <c r="O746" s="27"/>
      <c r="P746" s="27"/>
      <c r="Q746" s="406"/>
    </row>
    <row r="747" spans="2:17">
      <c r="N747" s="27"/>
      <c r="O747" s="27"/>
      <c r="P747" s="27"/>
      <c r="Q747" s="406"/>
    </row>
    <row r="748" spans="2:17">
      <c r="N748" s="27"/>
      <c r="O748" s="27"/>
      <c r="P748" s="27"/>
      <c r="Q748" s="406"/>
    </row>
    <row r="749" spans="2:17">
      <c r="N749" s="27"/>
      <c r="O749" s="27"/>
      <c r="P749" s="27"/>
      <c r="Q749" s="406"/>
    </row>
    <row r="750" spans="2:17">
      <c r="N750" s="27"/>
      <c r="O750" s="27"/>
      <c r="P750" s="27"/>
      <c r="Q750" s="406"/>
    </row>
    <row r="751" spans="2:17">
      <c r="N751" s="27"/>
      <c r="O751" s="27"/>
      <c r="P751" s="27"/>
      <c r="Q751" s="406"/>
    </row>
    <row r="752" spans="2:17">
      <c r="N752" s="27"/>
      <c r="O752" s="27"/>
      <c r="P752" s="27"/>
      <c r="Q752" s="406"/>
    </row>
    <row r="753" spans="14:17">
      <c r="N753" s="27"/>
      <c r="O753" s="27"/>
      <c r="P753" s="27"/>
      <c r="Q753" s="406"/>
    </row>
    <row r="754" spans="14:17">
      <c r="N754" s="27"/>
      <c r="O754" s="27"/>
      <c r="P754" s="27"/>
      <c r="Q754" s="406"/>
    </row>
    <row r="755" spans="14:17">
      <c r="N755" s="27"/>
      <c r="O755" s="27"/>
      <c r="P755" s="27"/>
      <c r="Q755" s="406"/>
    </row>
    <row r="756" spans="14:17">
      <c r="N756" s="27"/>
      <c r="O756" s="27"/>
      <c r="P756" s="27"/>
      <c r="Q756" s="406"/>
    </row>
    <row r="757" spans="14:17">
      <c r="N757" s="27"/>
      <c r="O757" s="27"/>
      <c r="P757" s="27"/>
      <c r="Q757" s="406"/>
    </row>
    <row r="758" spans="14:17">
      <c r="N758" s="27"/>
      <c r="O758" s="27"/>
      <c r="P758" s="27"/>
      <c r="Q758" s="406"/>
    </row>
    <row r="759" spans="14:17">
      <c r="N759" s="27"/>
      <c r="O759" s="27"/>
      <c r="P759" s="27"/>
      <c r="Q759" s="406"/>
    </row>
    <row r="760" spans="14:17">
      <c r="N760" s="27"/>
      <c r="O760" s="27"/>
      <c r="P760" s="27"/>
      <c r="Q760" s="406"/>
    </row>
    <row r="761" spans="14:17">
      <c r="N761" s="27"/>
      <c r="O761" s="27"/>
      <c r="P761" s="27"/>
      <c r="Q761" s="406"/>
    </row>
    <row r="762" spans="14:17">
      <c r="N762" s="27"/>
      <c r="O762" s="27"/>
      <c r="P762" s="27"/>
      <c r="Q762" s="406"/>
    </row>
    <row r="763" spans="14:17">
      <c r="N763" s="27"/>
      <c r="O763" s="27"/>
      <c r="P763" s="27"/>
      <c r="Q763" s="406"/>
    </row>
    <row r="764" spans="14:17">
      <c r="N764" s="27"/>
      <c r="O764" s="27"/>
      <c r="P764" s="27"/>
      <c r="Q764" s="406"/>
    </row>
    <row r="765" spans="14:17">
      <c r="N765" s="27"/>
      <c r="O765" s="27"/>
      <c r="P765" s="27"/>
      <c r="Q765" s="406"/>
    </row>
    <row r="766" spans="14:17">
      <c r="N766" s="27"/>
      <c r="O766" s="27"/>
      <c r="P766" s="27"/>
      <c r="Q766" s="406"/>
    </row>
    <row r="767" spans="14:17">
      <c r="N767" s="27"/>
      <c r="O767" s="27"/>
      <c r="P767" s="27"/>
      <c r="Q767" s="406"/>
    </row>
    <row r="768" spans="14:17">
      <c r="N768" s="27"/>
      <c r="O768" s="27"/>
      <c r="P768" s="27"/>
      <c r="Q768" s="406"/>
    </row>
    <row r="769" spans="14:17">
      <c r="N769" s="27"/>
      <c r="O769" s="27"/>
      <c r="P769" s="27"/>
      <c r="Q769" s="406"/>
    </row>
    <row r="770" spans="14:17">
      <c r="N770" s="27"/>
      <c r="O770" s="27"/>
      <c r="P770" s="27"/>
      <c r="Q770" s="406"/>
    </row>
    <row r="771" spans="14:17">
      <c r="N771" s="27"/>
      <c r="O771" s="27"/>
      <c r="P771" s="27"/>
      <c r="Q771" s="406"/>
    </row>
    <row r="772" spans="14:17">
      <c r="N772" s="27"/>
      <c r="O772" s="27"/>
      <c r="P772" s="27"/>
      <c r="Q772" s="406"/>
    </row>
    <row r="773" spans="14:17">
      <c r="N773" s="27"/>
      <c r="O773" s="27"/>
      <c r="P773" s="27"/>
      <c r="Q773" s="406"/>
    </row>
    <row r="774" spans="14:17">
      <c r="N774" s="27"/>
      <c r="O774" s="27"/>
      <c r="P774" s="27"/>
      <c r="Q774" s="406"/>
    </row>
    <row r="775" spans="14:17">
      <c r="N775" s="27"/>
      <c r="O775" s="27"/>
      <c r="P775" s="27"/>
      <c r="Q775" s="406"/>
    </row>
    <row r="776" spans="14:17">
      <c r="N776" s="27"/>
      <c r="O776" s="27"/>
      <c r="P776" s="27"/>
      <c r="Q776" s="406"/>
    </row>
    <row r="777" spans="14:17">
      <c r="N777" s="27"/>
      <c r="O777" s="27"/>
      <c r="P777" s="27"/>
      <c r="Q777" s="406"/>
    </row>
    <row r="778" spans="14:17">
      <c r="N778" s="27"/>
      <c r="O778" s="27"/>
      <c r="P778" s="27"/>
      <c r="Q778" s="406"/>
    </row>
    <row r="779" spans="14:17">
      <c r="N779" s="27"/>
      <c r="O779" s="27"/>
      <c r="P779" s="27"/>
      <c r="Q779" s="406"/>
    </row>
    <row r="780" spans="14:17">
      <c r="N780" s="27"/>
      <c r="O780" s="27"/>
      <c r="P780" s="27"/>
      <c r="Q780" s="406"/>
    </row>
    <row r="781" spans="14:17">
      <c r="N781" s="27"/>
      <c r="O781" s="27"/>
      <c r="P781" s="27"/>
      <c r="Q781" s="406"/>
    </row>
    <row r="782" spans="14:17">
      <c r="N782" s="27"/>
      <c r="O782" s="27"/>
      <c r="P782" s="27"/>
      <c r="Q782" s="406"/>
    </row>
    <row r="783" spans="14:17">
      <c r="N783" s="27"/>
      <c r="O783" s="27"/>
      <c r="P783" s="27"/>
      <c r="Q783" s="406"/>
    </row>
    <row r="784" spans="14:17">
      <c r="N784" s="27"/>
      <c r="O784" s="27"/>
      <c r="P784" s="27"/>
      <c r="Q784" s="406"/>
    </row>
    <row r="785" spans="14:17">
      <c r="N785" s="27"/>
      <c r="O785" s="27"/>
      <c r="P785" s="27"/>
      <c r="Q785" s="406"/>
    </row>
    <row r="786" spans="14:17">
      <c r="N786" s="27"/>
      <c r="O786" s="27"/>
      <c r="P786" s="27"/>
      <c r="Q786" s="406"/>
    </row>
    <row r="787" spans="14:17">
      <c r="N787" s="27"/>
      <c r="O787" s="27"/>
      <c r="P787" s="27"/>
      <c r="Q787" s="406"/>
    </row>
    <row r="788" spans="14:17">
      <c r="N788" s="27"/>
      <c r="O788" s="27"/>
      <c r="P788" s="27"/>
      <c r="Q788" s="406"/>
    </row>
    <row r="789" spans="14:17">
      <c r="N789" s="27"/>
      <c r="O789" s="27"/>
      <c r="P789" s="27"/>
      <c r="Q789" s="406"/>
    </row>
    <row r="790" spans="14:17">
      <c r="N790" s="27"/>
      <c r="O790" s="27"/>
      <c r="P790" s="27"/>
      <c r="Q790" s="406"/>
    </row>
    <row r="791" spans="14:17">
      <c r="N791" s="27"/>
      <c r="O791" s="27"/>
      <c r="P791" s="27"/>
      <c r="Q791" s="406"/>
    </row>
    <row r="792" spans="14:17">
      <c r="N792" s="27"/>
      <c r="O792" s="27"/>
      <c r="P792" s="27"/>
      <c r="Q792" s="406"/>
    </row>
    <row r="793" spans="14:17">
      <c r="N793" s="27"/>
      <c r="O793" s="27"/>
      <c r="P793" s="27"/>
      <c r="Q793" s="406"/>
    </row>
    <row r="794" spans="14:17">
      <c r="N794" s="27"/>
      <c r="O794" s="27"/>
      <c r="P794" s="27"/>
      <c r="Q794" s="406"/>
    </row>
    <row r="795" spans="14:17">
      <c r="N795" s="27"/>
      <c r="O795" s="27"/>
      <c r="P795" s="27"/>
      <c r="Q795" s="406"/>
    </row>
    <row r="796" spans="14:17">
      <c r="N796" s="27"/>
      <c r="O796" s="27"/>
      <c r="P796" s="27"/>
      <c r="Q796" s="406"/>
    </row>
    <row r="797" spans="14:17">
      <c r="N797" s="27"/>
      <c r="O797" s="27"/>
      <c r="P797" s="27"/>
      <c r="Q797" s="406"/>
    </row>
    <row r="798" spans="14:17">
      <c r="N798" s="27"/>
      <c r="O798" s="27"/>
      <c r="P798" s="27"/>
      <c r="Q798" s="406"/>
    </row>
    <row r="799" spans="14:17">
      <c r="N799" s="27"/>
      <c r="O799" s="27"/>
      <c r="P799" s="27"/>
      <c r="Q799" s="406"/>
    </row>
    <row r="800" spans="14:17">
      <c r="N800" s="27"/>
      <c r="O800" s="27"/>
      <c r="P800" s="27"/>
      <c r="Q800" s="406"/>
    </row>
    <row r="801" spans="14:17">
      <c r="N801" s="27"/>
      <c r="O801" s="27"/>
      <c r="P801" s="27"/>
      <c r="Q801" s="406"/>
    </row>
    <row r="802" spans="14:17">
      <c r="N802" s="27"/>
      <c r="O802" s="27"/>
      <c r="P802" s="27"/>
      <c r="Q802" s="406"/>
    </row>
    <row r="803" spans="14:17">
      <c r="N803" s="27"/>
      <c r="O803" s="27"/>
      <c r="P803" s="27"/>
      <c r="Q803" s="406"/>
    </row>
    <row r="804" spans="14:17">
      <c r="N804" s="27"/>
      <c r="O804" s="27"/>
      <c r="P804" s="27"/>
      <c r="Q804" s="406"/>
    </row>
    <row r="805" spans="14:17">
      <c r="N805" s="27"/>
      <c r="O805" s="27"/>
      <c r="P805" s="27"/>
      <c r="Q805" s="406"/>
    </row>
    <row r="806" spans="14:17">
      <c r="N806" s="27"/>
      <c r="O806" s="27"/>
      <c r="P806" s="27"/>
      <c r="Q806" s="406"/>
    </row>
    <row r="807" spans="14:17">
      <c r="N807" s="27"/>
      <c r="O807" s="27"/>
      <c r="P807" s="27"/>
      <c r="Q807" s="406"/>
    </row>
    <row r="808" spans="14:17">
      <c r="N808" s="27"/>
      <c r="O808" s="27"/>
      <c r="P808" s="27"/>
      <c r="Q808" s="406"/>
    </row>
    <row r="809" spans="14:17">
      <c r="N809" s="27"/>
      <c r="O809" s="27"/>
      <c r="P809" s="27"/>
      <c r="Q809" s="406"/>
    </row>
    <row r="810" spans="14:17">
      <c r="N810" s="27"/>
      <c r="O810" s="27"/>
      <c r="P810" s="27"/>
      <c r="Q810" s="406"/>
    </row>
    <row r="811" spans="14:17">
      <c r="N811" s="27"/>
      <c r="O811" s="27"/>
      <c r="P811" s="27"/>
      <c r="Q811" s="406"/>
    </row>
    <row r="812" spans="14:17">
      <c r="N812" s="27"/>
      <c r="O812" s="27"/>
      <c r="P812" s="27"/>
      <c r="Q812" s="406"/>
    </row>
    <row r="813" spans="14:17">
      <c r="N813" s="27"/>
      <c r="O813" s="27"/>
      <c r="P813" s="27"/>
      <c r="Q813" s="406"/>
    </row>
    <row r="814" spans="14:17">
      <c r="N814" s="27"/>
      <c r="O814" s="27"/>
      <c r="P814" s="27"/>
      <c r="Q814" s="406"/>
    </row>
    <row r="815" spans="14:17">
      <c r="N815" s="27"/>
      <c r="O815" s="27"/>
      <c r="P815" s="27"/>
      <c r="Q815" s="406"/>
    </row>
    <row r="816" spans="14:17">
      <c r="N816" s="27"/>
      <c r="O816" s="27"/>
      <c r="P816" s="27"/>
      <c r="Q816" s="406"/>
    </row>
    <row r="817" spans="14:17">
      <c r="N817" s="27"/>
      <c r="O817" s="27"/>
      <c r="P817" s="27"/>
      <c r="Q817" s="406"/>
    </row>
    <row r="818" spans="14:17">
      <c r="N818" s="27"/>
      <c r="O818" s="27"/>
      <c r="P818" s="27"/>
      <c r="Q818" s="406"/>
    </row>
    <row r="819" spans="14:17">
      <c r="N819" s="27"/>
      <c r="O819" s="27"/>
      <c r="P819" s="27"/>
      <c r="Q819" s="406"/>
    </row>
    <row r="820" spans="14:17">
      <c r="N820" s="27"/>
      <c r="O820" s="27"/>
      <c r="P820" s="27"/>
      <c r="Q820" s="406"/>
    </row>
    <row r="821" spans="14:17">
      <c r="N821" s="27"/>
      <c r="O821" s="27"/>
      <c r="P821" s="27"/>
      <c r="Q821" s="406"/>
    </row>
    <row r="822" spans="14:17">
      <c r="N822" s="27"/>
      <c r="O822" s="27"/>
      <c r="P822" s="27"/>
      <c r="Q822" s="406"/>
    </row>
    <row r="823" spans="14:17">
      <c r="N823" s="27"/>
      <c r="O823" s="27"/>
      <c r="P823" s="27"/>
      <c r="Q823" s="406"/>
    </row>
    <row r="824" spans="14:17">
      <c r="N824" s="27"/>
      <c r="O824" s="27"/>
      <c r="P824" s="27"/>
      <c r="Q824" s="406"/>
    </row>
    <row r="825" spans="14:17">
      <c r="N825" s="27"/>
      <c r="O825" s="27"/>
      <c r="P825" s="27"/>
      <c r="Q825" s="406"/>
    </row>
    <row r="826" spans="14:17">
      <c r="N826" s="27"/>
      <c r="O826" s="27"/>
      <c r="P826" s="27"/>
      <c r="Q826" s="406"/>
    </row>
    <row r="827" spans="14:17">
      <c r="N827" s="27"/>
      <c r="O827" s="27"/>
      <c r="P827" s="27"/>
      <c r="Q827" s="406"/>
    </row>
    <row r="828" spans="14:17">
      <c r="N828" s="27"/>
      <c r="O828" s="27"/>
      <c r="P828" s="27"/>
      <c r="Q828" s="406"/>
    </row>
    <row r="829" spans="14:17">
      <c r="N829" s="27"/>
      <c r="O829" s="27"/>
      <c r="P829" s="27"/>
      <c r="Q829" s="406"/>
    </row>
    <row r="830" spans="14:17">
      <c r="N830" s="27"/>
      <c r="O830" s="27"/>
      <c r="P830" s="27"/>
      <c r="Q830" s="406"/>
    </row>
    <row r="831" spans="14:17">
      <c r="N831" s="27"/>
      <c r="O831" s="27"/>
      <c r="P831" s="27"/>
      <c r="Q831" s="406"/>
    </row>
    <row r="832" spans="14:17">
      <c r="N832" s="27"/>
      <c r="O832" s="27"/>
      <c r="P832" s="27"/>
      <c r="Q832" s="406"/>
    </row>
    <row r="833" spans="14:17">
      <c r="N833" s="27"/>
      <c r="O833" s="27"/>
      <c r="P833" s="27"/>
      <c r="Q833" s="406"/>
    </row>
    <row r="834" spans="14:17">
      <c r="N834" s="27"/>
      <c r="O834" s="27"/>
      <c r="P834" s="27"/>
      <c r="Q834" s="406"/>
    </row>
    <row r="835" spans="14:17">
      <c r="N835" s="27"/>
      <c r="O835" s="27"/>
      <c r="P835" s="27"/>
      <c r="Q835" s="406"/>
    </row>
    <row r="836" spans="14:17">
      <c r="N836" s="27"/>
      <c r="O836" s="27"/>
      <c r="P836" s="27"/>
      <c r="Q836" s="406"/>
    </row>
    <row r="837" spans="14:17">
      <c r="N837" s="27"/>
      <c r="O837" s="27"/>
      <c r="P837" s="27"/>
      <c r="Q837" s="406"/>
    </row>
    <row r="838" spans="14:17">
      <c r="N838" s="27"/>
      <c r="O838" s="27"/>
      <c r="P838" s="27"/>
      <c r="Q838" s="406"/>
    </row>
    <row r="839" spans="14:17">
      <c r="N839" s="27"/>
      <c r="O839" s="27"/>
      <c r="P839" s="27"/>
      <c r="Q839" s="406"/>
    </row>
    <row r="840" spans="14:17">
      <c r="N840" s="27"/>
      <c r="O840" s="27"/>
      <c r="P840" s="27"/>
      <c r="Q840" s="406"/>
    </row>
    <row r="841" spans="14:17">
      <c r="N841" s="27"/>
      <c r="O841" s="27"/>
      <c r="P841" s="27"/>
      <c r="Q841" s="406"/>
    </row>
    <row r="842" spans="14:17">
      <c r="N842" s="27"/>
      <c r="O842" s="27"/>
      <c r="P842" s="27"/>
      <c r="Q842" s="406"/>
    </row>
    <row r="843" spans="14:17">
      <c r="N843" s="27"/>
      <c r="O843" s="27"/>
      <c r="P843" s="27"/>
      <c r="Q843" s="406"/>
    </row>
    <row r="844" spans="14:17">
      <c r="N844" s="27"/>
      <c r="O844" s="27"/>
      <c r="P844" s="27"/>
      <c r="Q844" s="406"/>
    </row>
    <row r="845" spans="14:17">
      <c r="N845" s="27"/>
      <c r="O845" s="27"/>
      <c r="P845" s="27"/>
      <c r="Q845" s="406"/>
    </row>
    <row r="846" spans="14:17">
      <c r="N846" s="27"/>
      <c r="O846" s="27"/>
      <c r="P846" s="27"/>
      <c r="Q846" s="406"/>
    </row>
    <row r="847" spans="14:17">
      <c r="N847" s="27"/>
      <c r="O847" s="27"/>
      <c r="P847" s="27"/>
      <c r="Q847" s="406"/>
    </row>
    <row r="848" spans="14:17">
      <c r="N848" s="27"/>
      <c r="O848" s="27"/>
      <c r="P848" s="27"/>
      <c r="Q848" s="406"/>
    </row>
    <row r="849" spans="14:17">
      <c r="N849" s="27"/>
      <c r="O849" s="27"/>
      <c r="P849" s="27"/>
      <c r="Q849" s="406"/>
    </row>
    <row r="850" spans="14:17">
      <c r="N850" s="27"/>
      <c r="O850" s="27"/>
      <c r="P850" s="27"/>
      <c r="Q850" s="406"/>
    </row>
    <row r="851" spans="14:17">
      <c r="N851" s="27"/>
      <c r="O851" s="27"/>
      <c r="P851" s="27"/>
      <c r="Q851" s="406"/>
    </row>
    <row r="852" spans="14:17">
      <c r="N852" s="27"/>
      <c r="O852" s="27"/>
      <c r="P852" s="27"/>
      <c r="Q852" s="406"/>
    </row>
    <row r="853" spans="14:17">
      <c r="N853" s="27"/>
      <c r="O853" s="27"/>
      <c r="P853" s="27"/>
      <c r="Q853" s="406"/>
    </row>
    <row r="854" spans="14:17">
      <c r="N854" s="27"/>
      <c r="O854" s="27"/>
      <c r="P854" s="27"/>
      <c r="Q854" s="406"/>
    </row>
    <row r="855" spans="14:17">
      <c r="N855" s="27"/>
      <c r="O855" s="27"/>
      <c r="P855" s="27"/>
      <c r="Q855" s="406"/>
    </row>
    <row r="856" spans="14:17">
      <c r="N856" s="27"/>
      <c r="O856" s="27"/>
      <c r="P856" s="27"/>
      <c r="Q856" s="406"/>
    </row>
    <row r="857" spans="14:17">
      <c r="N857" s="27"/>
      <c r="O857" s="27"/>
      <c r="P857" s="27"/>
      <c r="Q857" s="406"/>
    </row>
    <row r="858" spans="14:17">
      <c r="N858" s="27"/>
      <c r="O858" s="27"/>
      <c r="P858" s="27"/>
      <c r="Q858" s="406"/>
    </row>
    <row r="859" spans="14:17">
      <c r="N859" s="27"/>
      <c r="O859" s="27"/>
      <c r="P859" s="27"/>
      <c r="Q859" s="406"/>
    </row>
    <row r="860" spans="14:17">
      <c r="N860" s="27"/>
      <c r="O860" s="27"/>
      <c r="P860" s="27"/>
      <c r="Q860" s="406"/>
    </row>
    <row r="861" spans="14:17">
      <c r="N861" s="27"/>
      <c r="O861" s="27"/>
      <c r="P861" s="27"/>
      <c r="Q861" s="406"/>
    </row>
    <row r="862" spans="14:17">
      <c r="N862" s="27"/>
      <c r="O862" s="27"/>
      <c r="P862" s="27"/>
      <c r="Q862" s="406"/>
    </row>
    <row r="863" spans="14:17">
      <c r="N863" s="27"/>
      <c r="O863" s="27"/>
      <c r="P863" s="27"/>
      <c r="Q863" s="406"/>
    </row>
    <row r="864" spans="14:17">
      <c r="N864" s="27"/>
      <c r="O864" s="27"/>
      <c r="P864" s="27"/>
      <c r="Q864" s="406"/>
    </row>
    <row r="865" spans="14:17">
      <c r="N865" s="27"/>
      <c r="O865" s="27"/>
      <c r="P865" s="27"/>
      <c r="Q865" s="406"/>
    </row>
    <row r="866" spans="14:17">
      <c r="N866" s="27"/>
      <c r="O866" s="27"/>
      <c r="P866" s="27"/>
      <c r="Q866" s="406"/>
    </row>
    <row r="867" spans="14:17">
      <c r="N867" s="27"/>
      <c r="O867" s="27"/>
      <c r="P867" s="27"/>
      <c r="Q867" s="406"/>
    </row>
    <row r="868" spans="14:17">
      <c r="N868" s="27"/>
      <c r="O868" s="27"/>
      <c r="P868" s="27"/>
      <c r="Q868" s="406"/>
    </row>
    <row r="869" spans="14:17">
      <c r="N869" s="27"/>
      <c r="O869" s="27"/>
      <c r="P869" s="27"/>
      <c r="Q869" s="406"/>
    </row>
    <row r="870" spans="14:17">
      <c r="N870" s="27"/>
      <c r="O870" s="27"/>
      <c r="P870" s="27"/>
      <c r="Q870" s="406"/>
    </row>
    <row r="871" spans="14:17">
      <c r="N871" s="27"/>
      <c r="O871" s="27"/>
      <c r="P871" s="27"/>
      <c r="Q871" s="406"/>
    </row>
    <row r="872" spans="14:17">
      <c r="N872" s="27"/>
      <c r="O872" s="27"/>
      <c r="P872" s="27"/>
      <c r="Q872" s="406"/>
    </row>
    <row r="873" spans="14:17">
      <c r="N873" s="27"/>
      <c r="O873" s="27"/>
      <c r="P873" s="27"/>
      <c r="Q873" s="406"/>
    </row>
    <row r="874" spans="14:17">
      <c r="N874" s="27"/>
      <c r="O874" s="27"/>
      <c r="P874" s="27"/>
      <c r="Q874" s="406"/>
    </row>
    <row r="875" spans="14:17">
      <c r="N875" s="27"/>
      <c r="O875" s="27"/>
      <c r="P875" s="27"/>
      <c r="Q875" s="406"/>
    </row>
    <row r="876" spans="14:17">
      <c r="N876" s="27"/>
      <c r="O876" s="27"/>
      <c r="P876" s="27"/>
      <c r="Q876" s="406"/>
    </row>
    <row r="877" spans="14:17">
      <c r="N877" s="27"/>
      <c r="O877" s="27"/>
      <c r="P877" s="27"/>
      <c r="Q877" s="406"/>
    </row>
    <row r="878" spans="14:17">
      <c r="N878" s="27"/>
      <c r="O878" s="27"/>
      <c r="P878" s="27"/>
      <c r="Q878" s="406"/>
    </row>
    <row r="879" spans="14:17">
      <c r="N879" s="27"/>
      <c r="O879" s="27"/>
      <c r="P879" s="27"/>
      <c r="Q879" s="406"/>
    </row>
    <row r="880" spans="14:17">
      <c r="N880" s="27"/>
      <c r="O880" s="27"/>
      <c r="P880" s="27"/>
      <c r="Q880" s="406"/>
    </row>
    <row r="881" spans="14:17">
      <c r="N881" s="27"/>
      <c r="O881" s="27"/>
      <c r="P881" s="27"/>
      <c r="Q881" s="406"/>
    </row>
    <row r="882" spans="14:17">
      <c r="N882" s="27"/>
      <c r="O882" s="27"/>
      <c r="P882" s="27"/>
      <c r="Q882" s="406"/>
    </row>
    <row r="883" spans="14:17">
      <c r="N883" s="27"/>
      <c r="O883" s="27"/>
      <c r="P883" s="27"/>
      <c r="Q883" s="406"/>
    </row>
    <row r="884" spans="14:17">
      <c r="N884" s="27"/>
      <c r="O884" s="27"/>
      <c r="P884" s="27"/>
      <c r="Q884" s="406"/>
    </row>
    <row r="885" spans="14:17">
      <c r="N885" s="27"/>
      <c r="O885" s="27"/>
      <c r="P885" s="27"/>
      <c r="Q885" s="406"/>
    </row>
    <row r="886" spans="14:17">
      <c r="N886" s="27"/>
      <c r="O886" s="27"/>
      <c r="P886" s="27"/>
      <c r="Q886" s="406"/>
    </row>
    <row r="887" spans="14:17">
      <c r="N887" s="27"/>
      <c r="O887" s="27"/>
      <c r="P887" s="27"/>
      <c r="Q887" s="406"/>
    </row>
    <row r="888" spans="14:17">
      <c r="N888" s="27"/>
      <c r="O888" s="27"/>
      <c r="P888" s="27"/>
      <c r="Q888" s="406"/>
    </row>
    <row r="889" spans="14:17">
      <c r="N889" s="27"/>
      <c r="O889" s="27"/>
      <c r="P889" s="27"/>
      <c r="Q889" s="406"/>
    </row>
    <row r="890" spans="14:17">
      <c r="N890" s="27"/>
      <c r="O890" s="27"/>
      <c r="P890" s="27"/>
      <c r="Q890" s="406"/>
    </row>
    <row r="891" spans="14:17">
      <c r="N891" s="27"/>
      <c r="O891" s="27"/>
      <c r="P891" s="27"/>
      <c r="Q891" s="406"/>
    </row>
    <row r="892" spans="14:17">
      <c r="N892" s="27"/>
      <c r="O892" s="27"/>
      <c r="P892" s="27"/>
      <c r="Q892" s="406"/>
    </row>
    <row r="893" spans="14:17">
      <c r="N893" s="27"/>
      <c r="O893" s="27"/>
      <c r="P893" s="27"/>
      <c r="Q893" s="406"/>
    </row>
    <row r="894" spans="14:17">
      <c r="N894" s="27"/>
      <c r="O894" s="27"/>
      <c r="P894" s="27"/>
      <c r="Q894" s="406"/>
    </row>
    <row r="895" spans="14:17">
      <c r="N895" s="27"/>
      <c r="O895" s="27"/>
      <c r="P895" s="27"/>
      <c r="Q895" s="406"/>
    </row>
    <row r="896" spans="14:17">
      <c r="N896" s="27"/>
      <c r="O896" s="27"/>
      <c r="P896" s="27"/>
      <c r="Q896" s="406"/>
    </row>
    <row r="897" spans="14:17">
      <c r="N897" s="27"/>
      <c r="O897" s="27"/>
      <c r="P897" s="27"/>
      <c r="Q897" s="406"/>
    </row>
    <row r="898" spans="14:17">
      <c r="N898" s="27"/>
      <c r="O898" s="27"/>
      <c r="P898" s="27"/>
      <c r="Q898" s="406"/>
    </row>
    <row r="899" spans="14:17">
      <c r="N899" s="27"/>
      <c r="O899" s="27"/>
      <c r="P899" s="27"/>
      <c r="Q899" s="406"/>
    </row>
    <row r="900" spans="14:17">
      <c r="N900" s="27"/>
      <c r="O900" s="27"/>
      <c r="P900" s="27"/>
      <c r="Q900" s="406"/>
    </row>
    <row r="901" spans="14:17">
      <c r="N901" s="27"/>
      <c r="O901" s="27"/>
      <c r="P901" s="27"/>
      <c r="Q901" s="406"/>
    </row>
    <row r="902" spans="14:17">
      <c r="N902" s="27"/>
      <c r="O902" s="27"/>
      <c r="P902" s="27"/>
      <c r="Q902" s="406"/>
    </row>
    <row r="903" spans="14:17">
      <c r="N903" s="27"/>
      <c r="O903" s="27"/>
      <c r="P903" s="27"/>
      <c r="Q903" s="406"/>
    </row>
    <row r="904" spans="14:17">
      <c r="N904" s="27"/>
      <c r="O904" s="27"/>
      <c r="P904" s="27"/>
      <c r="Q904" s="406"/>
    </row>
    <row r="905" spans="14:17">
      <c r="N905" s="27"/>
      <c r="O905" s="27"/>
      <c r="P905" s="27"/>
      <c r="Q905" s="406"/>
    </row>
    <row r="906" spans="14:17">
      <c r="N906" s="27"/>
      <c r="O906" s="27"/>
      <c r="P906" s="27"/>
      <c r="Q906" s="406"/>
    </row>
    <row r="907" spans="14:17">
      <c r="N907" s="27"/>
      <c r="O907" s="27"/>
      <c r="P907" s="27"/>
      <c r="Q907" s="406"/>
    </row>
    <row r="908" spans="14:17">
      <c r="N908" s="27"/>
      <c r="O908" s="27"/>
      <c r="P908" s="27"/>
      <c r="Q908" s="406"/>
    </row>
    <row r="909" spans="14:17">
      <c r="N909" s="27"/>
      <c r="O909" s="27"/>
      <c r="P909" s="27"/>
      <c r="Q909" s="406"/>
    </row>
    <row r="910" spans="14:17">
      <c r="N910" s="27"/>
      <c r="O910" s="27"/>
      <c r="P910" s="27"/>
      <c r="Q910" s="406"/>
    </row>
    <row r="911" spans="14:17">
      <c r="N911" s="27"/>
      <c r="O911" s="27"/>
      <c r="P911" s="27"/>
      <c r="Q911" s="406"/>
    </row>
    <row r="912" spans="14:17">
      <c r="N912" s="27"/>
      <c r="O912" s="27"/>
      <c r="P912" s="27"/>
      <c r="Q912" s="406"/>
    </row>
    <row r="913" spans="14:17">
      <c r="N913" s="27"/>
      <c r="O913" s="27"/>
      <c r="P913" s="27"/>
      <c r="Q913" s="406"/>
    </row>
    <row r="914" spans="14:17">
      <c r="N914" s="27"/>
      <c r="O914" s="27"/>
      <c r="P914" s="27"/>
      <c r="Q914" s="406"/>
    </row>
    <row r="915" spans="14:17">
      <c r="N915" s="27"/>
      <c r="O915" s="27"/>
      <c r="P915" s="27"/>
      <c r="Q915" s="406"/>
    </row>
    <row r="916" spans="14:17">
      <c r="N916" s="27"/>
      <c r="O916" s="27"/>
      <c r="P916" s="27"/>
      <c r="Q916" s="406"/>
    </row>
    <row r="917" spans="14:17">
      <c r="N917" s="27"/>
      <c r="O917" s="27"/>
      <c r="P917" s="27"/>
      <c r="Q917" s="406"/>
    </row>
    <row r="918" spans="14:17">
      <c r="N918" s="27"/>
      <c r="O918" s="27"/>
      <c r="P918" s="27"/>
      <c r="Q918" s="406"/>
    </row>
    <row r="919" spans="14:17">
      <c r="N919" s="27"/>
      <c r="O919" s="27"/>
      <c r="P919" s="27"/>
      <c r="Q919" s="406"/>
    </row>
    <row r="920" spans="14:17">
      <c r="N920" s="27"/>
      <c r="O920" s="27"/>
      <c r="P920" s="27"/>
      <c r="Q920" s="406"/>
    </row>
    <row r="921" spans="14:17">
      <c r="N921" s="27"/>
      <c r="O921" s="27"/>
      <c r="P921" s="27"/>
      <c r="Q921" s="406"/>
    </row>
    <row r="922" spans="14:17">
      <c r="N922" s="27"/>
      <c r="O922" s="27"/>
      <c r="P922" s="27"/>
      <c r="Q922" s="406"/>
    </row>
    <row r="923" spans="14:17">
      <c r="N923" s="27"/>
      <c r="O923" s="27"/>
      <c r="P923" s="27"/>
      <c r="Q923" s="406"/>
    </row>
    <row r="924" spans="14:17">
      <c r="N924" s="27"/>
      <c r="O924" s="27"/>
      <c r="P924" s="27"/>
      <c r="Q924" s="406"/>
    </row>
    <row r="925" spans="14:17">
      <c r="N925" s="27"/>
      <c r="O925" s="27"/>
      <c r="P925" s="27"/>
      <c r="Q925" s="406"/>
    </row>
    <row r="926" spans="14:17">
      <c r="N926" s="27"/>
      <c r="O926" s="27"/>
      <c r="P926" s="27"/>
      <c r="Q926" s="406"/>
    </row>
    <row r="927" spans="14:17">
      <c r="N927" s="27"/>
      <c r="O927" s="27"/>
      <c r="P927" s="27"/>
      <c r="Q927" s="406"/>
    </row>
    <row r="928" spans="14:17">
      <c r="N928" s="27"/>
      <c r="O928" s="27"/>
      <c r="P928" s="27"/>
      <c r="Q928" s="406"/>
    </row>
    <row r="929" spans="14:17">
      <c r="N929" s="27"/>
      <c r="O929" s="27"/>
      <c r="P929" s="27"/>
      <c r="Q929" s="406"/>
    </row>
    <row r="930" spans="14:17">
      <c r="N930" s="27"/>
      <c r="O930" s="27"/>
      <c r="P930" s="27"/>
      <c r="Q930" s="406"/>
    </row>
    <row r="931" spans="14:17">
      <c r="N931" s="27"/>
      <c r="O931" s="27"/>
      <c r="P931" s="27"/>
      <c r="Q931" s="406"/>
    </row>
    <row r="932" spans="14:17">
      <c r="N932" s="27"/>
      <c r="O932" s="27"/>
      <c r="P932" s="27"/>
      <c r="Q932" s="406"/>
    </row>
    <row r="933" spans="14:17">
      <c r="N933" s="27"/>
      <c r="O933" s="27"/>
      <c r="P933" s="27"/>
      <c r="Q933" s="406"/>
    </row>
    <row r="934" spans="14:17">
      <c r="N934" s="27"/>
      <c r="O934" s="27"/>
      <c r="P934" s="27"/>
      <c r="Q934" s="406"/>
    </row>
    <row r="935" spans="14:17">
      <c r="N935" s="27"/>
      <c r="O935" s="27"/>
      <c r="P935" s="27"/>
      <c r="Q935" s="406"/>
    </row>
    <row r="936" spans="14:17">
      <c r="N936" s="27"/>
      <c r="O936" s="27"/>
      <c r="P936" s="27"/>
      <c r="Q936" s="406"/>
    </row>
    <row r="937" spans="14:17">
      <c r="N937" s="27"/>
      <c r="O937" s="27"/>
      <c r="P937" s="27"/>
      <c r="Q937" s="406"/>
    </row>
    <row r="938" spans="14:17">
      <c r="N938" s="27"/>
      <c r="O938" s="27"/>
      <c r="P938" s="27"/>
      <c r="Q938" s="406"/>
    </row>
    <row r="939" spans="14:17">
      <c r="N939" s="27"/>
      <c r="O939" s="27"/>
      <c r="P939" s="27"/>
      <c r="Q939" s="406"/>
    </row>
    <row r="940" spans="14:17">
      <c r="N940" s="27"/>
      <c r="O940" s="27"/>
      <c r="P940" s="27"/>
      <c r="Q940" s="406"/>
    </row>
    <row r="941" spans="14:17">
      <c r="N941" s="27"/>
      <c r="O941" s="27"/>
      <c r="P941" s="27"/>
      <c r="Q941" s="406"/>
    </row>
    <row r="942" spans="14:17">
      <c r="N942" s="27"/>
      <c r="O942" s="27"/>
      <c r="P942" s="27"/>
      <c r="Q942" s="406"/>
    </row>
    <row r="943" spans="14:17">
      <c r="N943" s="27"/>
      <c r="O943" s="27"/>
      <c r="P943" s="27"/>
      <c r="Q943" s="406"/>
    </row>
    <row r="944" spans="14:17">
      <c r="N944" s="27"/>
      <c r="O944" s="27"/>
      <c r="P944" s="27"/>
      <c r="Q944" s="406"/>
    </row>
    <row r="945" spans="14:17">
      <c r="N945" s="27"/>
      <c r="O945" s="27"/>
      <c r="P945" s="27"/>
      <c r="Q945" s="406"/>
    </row>
    <row r="946" spans="14:17">
      <c r="N946" s="27"/>
      <c r="O946" s="27"/>
      <c r="P946" s="27"/>
      <c r="Q946" s="406"/>
    </row>
    <row r="947" spans="14:17">
      <c r="N947" s="27"/>
      <c r="O947" s="27"/>
      <c r="P947" s="27"/>
      <c r="Q947" s="406"/>
    </row>
    <row r="948" spans="14:17">
      <c r="N948" s="27"/>
      <c r="O948" s="27"/>
      <c r="P948" s="27"/>
      <c r="Q948" s="406"/>
    </row>
    <row r="949" spans="14:17">
      <c r="N949" s="27"/>
      <c r="O949" s="27"/>
      <c r="P949" s="27"/>
      <c r="Q949" s="406"/>
    </row>
    <row r="950" spans="14:17">
      <c r="N950" s="27"/>
      <c r="O950" s="27"/>
      <c r="P950" s="27"/>
      <c r="Q950" s="406"/>
    </row>
    <row r="951" spans="14:17">
      <c r="N951" s="27"/>
      <c r="O951" s="27"/>
      <c r="P951" s="27"/>
      <c r="Q951" s="406"/>
    </row>
    <row r="952" spans="14:17">
      <c r="N952" s="27"/>
      <c r="O952" s="27"/>
      <c r="P952" s="27"/>
      <c r="Q952" s="406"/>
    </row>
    <row r="953" spans="14:17">
      <c r="N953" s="27"/>
      <c r="O953" s="27"/>
      <c r="P953" s="27"/>
      <c r="Q953" s="406"/>
    </row>
    <row r="954" spans="14:17">
      <c r="N954" s="27"/>
      <c r="O954" s="27"/>
      <c r="P954" s="27"/>
      <c r="Q954" s="406"/>
    </row>
    <row r="955" spans="14:17">
      <c r="N955" s="27"/>
      <c r="O955" s="27"/>
      <c r="P955" s="27"/>
      <c r="Q955" s="406"/>
    </row>
    <row r="956" spans="14:17">
      <c r="N956" s="27"/>
      <c r="O956" s="27"/>
      <c r="P956" s="27"/>
      <c r="Q956" s="406"/>
    </row>
    <row r="957" spans="14:17">
      <c r="N957" s="27"/>
      <c r="O957" s="27"/>
      <c r="P957" s="27"/>
      <c r="Q957" s="406"/>
    </row>
    <row r="958" spans="14:17">
      <c r="N958" s="27"/>
      <c r="O958" s="27"/>
      <c r="P958" s="27"/>
      <c r="Q958" s="406"/>
    </row>
    <row r="959" spans="14:17">
      <c r="N959" s="27"/>
      <c r="O959" s="27"/>
      <c r="P959" s="27"/>
      <c r="Q959" s="406"/>
    </row>
    <row r="960" spans="14:17">
      <c r="N960" s="27"/>
      <c r="O960" s="27"/>
      <c r="P960" s="27"/>
      <c r="Q960" s="406"/>
    </row>
    <row r="961" spans="14:17">
      <c r="N961" s="27"/>
      <c r="O961" s="27"/>
      <c r="P961" s="27"/>
      <c r="Q961" s="406"/>
    </row>
    <row r="962" spans="14:17">
      <c r="N962" s="27"/>
      <c r="O962" s="27"/>
      <c r="P962" s="27"/>
      <c r="Q962" s="406"/>
    </row>
    <row r="963" spans="14:17">
      <c r="N963" s="27"/>
      <c r="O963" s="27"/>
      <c r="P963" s="27"/>
      <c r="Q963" s="406"/>
    </row>
    <row r="964" spans="14:17">
      <c r="N964" s="27"/>
      <c r="O964" s="27"/>
      <c r="P964" s="27"/>
      <c r="Q964" s="406"/>
    </row>
    <row r="965" spans="14:17">
      <c r="N965" s="27"/>
      <c r="O965" s="27"/>
      <c r="P965" s="27"/>
      <c r="Q965" s="406"/>
    </row>
    <row r="966" spans="14:17">
      <c r="N966" s="27"/>
      <c r="O966" s="27"/>
      <c r="P966" s="27"/>
      <c r="Q966" s="406"/>
    </row>
    <row r="967" spans="14:17">
      <c r="N967" s="27"/>
      <c r="O967" s="27"/>
      <c r="P967" s="27"/>
      <c r="Q967" s="406"/>
    </row>
    <row r="968" spans="14:17">
      <c r="N968" s="27"/>
      <c r="O968" s="27"/>
      <c r="P968" s="27"/>
      <c r="Q968" s="406"/>
    </row>
    <row r="969" spans="14:17">
      <c r="N969" s="27"/>
      <c r="O969" s="27"/>
      <c r="P969" s="27"/>
      <c r="Q969" s="406"/>
    </row>
    <row r="970" spans="14:17">
      <c r="N970" s="27"/>
      <c r="O970" s="27"/>
      <c r="P970" s="27"/>
      <c r="Q970" s="406"/>
    </row>
    <row r="971" spans="14:17">
      <c r="N971" s="27"/>
      <c r="O971" s="27"/>
      <c r="P971" s="27"/>
      <c r="Q971" s="406"/>
    </row>
    <row r="972" spans="14:17">
      <c r="N972" s="27"/>
      <c r="O972" s="27"/>
      <c r="P972" s="27"/>
      <c r="Q972" s="406"/>
    </row>
    <row r="973" spans="14:17">
      <c r="N973" s="27"/>
      <c r="O973" s="27"/>
      <c r="P973" s="27"/>
      <c r="Q973" s="406"/>
    </row>
    <row r="974" spans="14:17">
      <c r="N974" s="27"/>
      <c r="O974" s="27"/>
      <c r="P974" s="27"/>
      <c r="Q974" s="406"/>
    </row>
    <row r="975" spans="14:17">
      <c r="N975" s="27"/>
      <c r="O975" s="27"/>
      <c r="P975" s="27"/>
      <c r="Q975" s="406"/>
    </row>
    <row r="976" spans="14:17">
      <c r="N976" s="27"/>
      <c r="O976" s="27"/>
      <c r="P976" s="27"/>
      <c r="Q976" s="406"/>
    </row>
    <row r="977" spans="14:17">
      <c r="N977" s="27"/>
      <c r="O977" s="27"/>
      <c r="P977" s="27"/>
      <c r="Q977" s="406"/>
    </row>
    <row r="978" spans="14:17">
      <c r="N978" s="27"/>
      <c r="O978" s="27"/>
      <c r="P978" s="27"/>
      <c r="Q978" s="406"/>
    </row>
    <row r="979" spans="14:17">
      <c r="N979" s="27"/>
      <c r="O979" s="27"/>
      <c r="P979" s="27"/>
      <c r="Q979" s="406"/>
    </row>
    <row r="980" spans="14:17">
      <c r="N980" s="27"/>
      <c r="O980" s="27"/>
      <c r="P980" s="27"/>
      <c r="Q980" s="406"/>
    </row>
    <row r="981" spans="14:17">
      <c r="N981" s="27"/>
      <c r="O981" s="27"/>
      <c r="P981" s="27"/>
      <c r="Q981" s="406"/>
    </row>
    <row r="982" spans="14:17">
      <c r="N982" s="27"/>
      <c r="O982" s="27"/>
      <c r="P982" s="27"/>
      <c r="Q982" s="406"/>
    </row>
    <row r="983" spans="14:17">
      <c r="N983" s="27"/>
      <c r="O983" s="27"/>
      <c r="P983" s="27"/>
      <c r="Q983" s="406"/>
    </row>
    <row r="984" spans="14:17">
      <c r="N984" s="27"/>
      <c r="O984" s="27"/>
      <c r="P984" s="27"/>
      <c r="Q984" s="406"/>
    </row>
    <row r="985" spans="14:17">
      <c r="N985" s="27"/>
      <c r="O985" s="27"/>
      <c r="P985" s="27"/>
      <c r="Q985" s="406"/>
    </row>
    <row r="986" spans="14:17">
      <c r="N986" s="27"/>
      <c r="O986" s="27"/>
      <c r="P986" s="27"/>
      <c r="Q986" s="406"/>
    </row>
    <row r="987" spans="14:17">
      <c r="N987" s="27"/>
      <c r="O987" s="27"/>
      <c r="P987" s="27"/>
      <c r="Q987" s="406"/>
    </row>
    <row r="988" spans="14:17">
      <c r="N988" s="27"/>
      <c r="O988" s="27"/>
      <c r="P988" s="27"/>
      <c r="Q988" s="406"/>
    </row>
    <row r="989" spans="14:17">
      <c r="N989" s="27"/>
      <c r="O989" s="27"/>
      <c r="P989" s="27"/>
      <c r="Q989" s="406"/>
    </row>
    <row r="990" spans="14:17">
      <c r="N990" s="27"/>
      <c r="O990" s="27"/>
      <c r="P990" s="27"/>
      <c r="Q990" s="406"/>
    </row>
    <row r="991" spans="14:17">
      <c r="N991" s="27"/>
      <c r="O991" s="27"/>
      <c r="P991" s="27"/>
      <c r="Q991" s="406"/>
    </row>
    <row r="992" spans="14:17">
      <c r="N992" s="27"/>
      <c r="O992" s="27"/>
      <c r="P992" s="27"/>
      <c r="Q992" s="406"/>
    </row>
    <row r="993" spans="14:17">
      <c r="N993" s="27"/>
      <c r="O993" s="27"/>
      <c r="P993" s="27"/>
      <c r="Q993" s="406"/>
    </row>
    <row r="994" spans="14:17">
      <c r="N994" s="27"/>
      <c r="O994" s="27"/>
      <c r="P994" s="27"/>
      <c r="Q994" s="406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tabSelected="1" view="pageBreakPreview" zoomScaleSheetLayoutView="100" workbookViewId="0">
      <pane xSplit="2" ySplit="6" topLeftCell="C28" activePane="bottomRight" state="frozen"/>
      <selection pane="topRight" activeCell="C1" sqref="C1"/>
      <selection pane="bottomLeft" activeCell="A7" sqref="A7"/>
      <selection pane="bottomRight" activeCell="I12" sqref="I12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1.5703125" style="245" bestFit="1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817" t="s">
        <v>276</v>
      </c>
      <c r="C1" s="817"/>
      <c r="D1" s="817"/>
      <c r="E1" s="817"/>
      <c r="F1" s="817"/>
      <c r="G1" s="817"/>
      <c r="H1" s="817"/>
      <c r="I1" s="817"/>
      <c r="J1" s="817"/>
      <c r="K1" s="817"/>
      <c r="L1" s="817"/>
    </row>
    <row r="2" spans="1:13" ht="21">
      <c r="B2" s="817" t="s">
        <v>228</v>
      </c>
      <c r="C2" s="817"/>
      <c r="D2" s="817"/>
      <c r="E2" s="817"/>
      <c r="F2" s="817"/>
      <c r="G2" s="817"/>
      <c r="H2" s="817"/>
      <c r="I2" s="817"/>
      <c r="J2" s="817"/>
      <c r="K2" s="817"/>
      <c r="L2" s="817"/>
    </row>
    <row r="3" spans="1:13" ht="21">
      <c r="B3" s="817" t="str">
        <f>封面!E10&amp;封面!H10&amp;封面!I10&amp;封面!J10&amp;封面!K10&amp;封面!L10</f>
        <v>中華民國114年9月份</v>
      </c>
      <c r="C3" s="817"/>
      <c r="D3" s="817"/>
      <c r="E3" s="817"/>
      <c r="F3" s="817"/>
      <c r="G3" s="817"/>
      <c r="H3" s="817"/>
      <c r="I3" s="817"/>
      <c r="J3" s="817"/>
      <c r="K3" s="817"/>
      <c r="L3" s="817"/>
    </row>
    <row r="4" spans="1:13" ht="21">
      <c r="B4" s="246" t="s">
        <v>290</v>
      </c>
      <c r="C4" s="247"/>
      <c r="D4" s="247"/>
      <c r="E4" s="247"/>
      <c r="F4" s="247"/>
      <c r="G4" s="248"/>
      <c r="H4" s="248"/>
      <c r="I4" s="248"/>
      <c r="J4" s="818"/>
      <c r="K4" s="818"/>
      <c r="L4" s="819"/>
    </row>
    <row r="5" spans="1:13" ht="16.5">
      <c r="A5" s="820" t="s">
        <v>229</v>
      </c>
      <c r="B5" s="821"/>
      <c r="C5" s="824" t="s">
        <v>230</v>
      </c>
      <c r="D5" s="824"/>
      <c r="E5" s="824"/>
      <c r="F5" s="825" t="s">
        <v>231</v>
      </c>
      <c r="G5" s="827" t="s">
        <v>232</v>
      </c>
      <c r="H5" s="828"/>
      <c r="I5" s="828"/>
      <c r="J5" s="828"/>
      <c r="K5" s="828"/>
      <c r="L5" s="829"/>
    </row>
    <row r="6" spans="1:13" ht="39.75" customHeight="1">
      <c r="A6" s="822"/>
      <c r="B6" s="823"/>
      <c r="C6" s="243" t="s">
        <v>233</v>
      </c>
      <c r="D6" s="243" t="s">
        <v>234</v>
      </c>
      <c r="E6" s="243" t="s">
        <v>235</v>
      </c>
      <c r="F6" s="826"/>
      <c r="G6" s="249" t="s">
        <v>453</v>
      </c>
      <c r="H6" s="249" t="s">
        <v>454</v>
      </c>
      <c r="I6" s="249" t="s">
        <v>466</v>
      </c>
      <c r="J6" s="249" t="s">
        <v>465</v>
      </c>
      <c r="K6" s="249" t="s">
        <v>464</v>
      </c>
      <c r="L6" s="249" t="s">
        <v>463</v>
      </c>
    </row>
    <row r="7" spans="1:13" ht="21">
      <c r="A7" s="830" t="s">
        <v>236</v>
      </c>
      <c r="B7" s="831"/>
      <c r="C7" s="243"/>
      <c r="D7" s="243"/>
      <c r="E7" s="243"/>
      <c r="F7" s="250"/>
      <c r="G7" s="832">
        <f>SUM(G8:L9)</f>
        <v>10664151</v>
      </c>
      <c r="H7" s="833"/>
      <c r="I7" s="833"/>
      <c r="J7" s="833"/>
      <c r="K7" s="833"/>
      <c r="L7" s="834"/>
      <c r="M7" s="256">
        <f>SUM(G7:L7)</f>
        <v>10664151</v>
      </c>
    </row>
    <row r="8" spans="1:13" ht="16.5">
      <c r="A8" s="830" t="s">
        <v>237</v>
      </c>
      <c r="B8" s="831"/>
      <c r="C8" s="251"/>
      <c r="D8" s="251"/>
      <c r="E8" s="251"/>
      <c r="F8" s="252"/>
      <c r="G8" s="253">
        <f>'勾稽 (2)'!D25</f>
        <v>1099971</v>
      </c>
      <c r="H8" s="253">
        <f>'勾稽 (2)'!D26</f>
        <v>1100041</v>
      </c>
      <c r="I8" s="253">
        <f>'勾稽 (2)'!D27</f>
        <v>7819988</v>
      </c>
      <c r="J8" s="253">
        <f>'勾稽 (2)'!D28</f>
        <v>0</v>
      </c>
      <c r="K8" s="253">
        <f>'勾稽 (2)'!D29</f>
        <v>500</v>
      </c>
      <c r="L8" s="253">
        <f>'勾稽 (2)'!D30</f>
        <v>643651</v>
      </c>
      <c r="M8" s="256">
        <f>SUM(G8:L8)</f>
        <v>10664151</v>
      </c>
    </row>
    <row r="9" spans="1:13" ht="16.5">
      <c r="A9" s="402"/>
      <c r="B9" s="403" t="s">
        <v>423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830" t="s">
        <v>238</v>
      </c>
      <c r="B10" s="831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0</v>
      </c>
      <c r="I10" s="255">
        <f t="shared" si="0"/>
        <v>145645</v>
      </c>
      <c r="J10" s="255">
        <f t="shared" si="0"/>
        <v>0</v>
      </c>
      <c r="K10" s="255">
        <f t="shared" ref="K10" si="1">SUM(K11:K13)</f>
        <v>0</v>
      </c>
      <c r="L10" s="255">
        <f>SUM(L11:L13)</f>
        <v>0</v>
      </c>
      <c r="M10" s="256">
        <f>SUM(G10:L10)</f>
        <v>145645</v>
      </c>
    </row>
    <row r="11" spans="1:13" ht="16.5">
      <c r="A11" s="282" t="s">
        <v>239</v>
      </c>
      <c r="B11" s="283"/>
      <c r="C11" s="254"/>
      <c r="D11" s="254"/>
      <c r="E11" s="254"/>
      <c r="F11" s="252"/>
      <c r="G11" s="257"/>
      <c r="H11" s="257"/>
      <c r="I11" s="257">
        <v>145645</v>
      </c>
      <c r="J11" s="257"/>
      <c r="K11" s="257"/>
      <c r="L11" s="257"/>
      <c r="M11" s="256"/>
    </row>
    <row r="12" spans="1:13" ht="16.5">
      <c r="A12" s="282" t="s">
        <v>240</v>
      </c>
      <c r="B12" s="283"/>
      <c r="C12" s="254"/>
      <c r="D12" s="254"/>
      <c r="E12" s="254"/>
      <c r="F12" s="252"/>
      <c r="G12" s="257"/>
      <c r="H12" s="257"/>
      <c r="I12" s="257"/>
      <c r="J12" s="257"/>
      <c r="K12" s="257"/>
      <c r="L12" s="257"/>
      <c r="M12" s="256"/>
    </row>
    <row r="13" spans="1:13" ht="16.5">
      <c r="A13" s="282" t="s">
        <v>241</v>
      </c>
      <c r="B13" s="283"/>
      <c r="C13" s="254"/>
      <c r="D13" s="254"/>
      <c r="E13" s="254"/>
      <c r="F13" s="252"/>
      <c r="G13" s="257"/>
      <c r="H13" s="257"/>
      <c r="I13" s="257"/>
      <c r="J13" s="257"/>
      <c r="K13" s="257"/>
      <c r="L13" s="257"/>
      <c r="M13" s="256"/>
    </row>
    <row r="14" spans="1:13" ht="16.5">
      <c r="A14" s="815" t="s">
        <v>242</v>
      </c>
      <c r="B14" s="831"/>
      <c r="C14" s="254"/>
      <c r="D14" s="254"/>
      <c r="E14" s="254"/>
      <c r="F14" s="252"/>
      <c r="G14" s="258">
        <f t="shared" ref="G14:J14" si="2">SUM(G15:G34)</f>
        <v>0</v>
      </c>
      <c r="H14" s="258">
        <f t="shared" si="2"/>
        <v>0</v>
      </c>
      <c r="I14" s="258">
        <f t="shared" si="2"/>
        <v>132272</v>
      </c>
      <c r="J14" s="258">
        <f t="shared" si="2"/>
        <v>0</v>
      </c>
      <c r="K14" s="258">
        <f t="shared" ref="K14" si="3">SUM(K15:K34)</f>
        <v>0</v>
      </c>
      <c r="L14" s="258">
        <f>SUM(L15:L34)</f>
        <v>0</v>
      </c>
      <c r="M14" s="256">
        <f>SUM(G14:L14)</f>
        <v>132272</v>
      </c>
    </row>
    <row r="15" spans="1:13" ht="16.5">
      <c r="A15" s="282" t="s">
        <v>239</v>
      </c>
      <c r="B15" s="283"/>
      <c r="C15" s="259"/>
      <c r="D15" s="259"/>
      <c r="E15" s="259"/>
      <c r="F15" s="252"/>
      <c r="G15" s="260"/>
      <c r="H15" s="260"/>
      <c r="I15" s="260">
        <v>916</v>
      </c>
      <c r="J15" s="260"/>
      <c r="K15" s="260"/>
      <c r="L15" s="260"/>
    </row>
    <row r="16" spans="1:13" ht="16.5">
      <c r="A16" s="282" t="s">
        <v>240</v>
      </c>
      <c r="B16" s="283"/>
      <c r="C16" s="259"/>
      <c r="D16" s="259"/>
      <c r="E16" s="259"/>
      <c r="F16" s="261"/>
      <c r="G16" s="260"/>
      <c r="H16" s="260"/>
      <c r="I16" s="260">
        <v>1200</v>
      </c>
      <c r="J16" s="260"/>
      <c r="K16" s="260"/>
      <c r="L16" s="260"/>
    </row>
    <row r="17" spans="1:13" ht="16.5">
      <c r="A17" s="282" t="s">
        <v>241</v>
      </c>
      <c r="B17" s="283"/>
      <c r="C17" s="259"/>
      <c r="D17" s="259"/>
      <c r="E17" s="259"/>
      <c r="F17" s="252"/>
      <c r="G17" s="260"/>
      <c r="H17" s="260"/>
      <c r="I17" s="260">
        <v>81232</v>
      </c>
      <c r="J17" s="260"/>
      <c r="K17" s="260"/>
      <c r="L17" s="260"/>
    </row>
    <row r="18" spans="1:13" ht="16.5">
      <c r="A18" s="282" t="s">
        <v>243</v>
      </c>
      <c r="B18" s="283"/>
      <c r="C18" s="259"/>
      <c r="D18" s="259"/>
      <c r="E18" s="259"/>
      <c r="F18" s="252"/>
      <c r="G18" s="260"/>
      <c r="H18" s="260"/>
      <c r="I18" s="260">
        <v>4050</v>
      </c>
      <c r="J18" s="260"/>
      <c r="K18" s="260"/>
      <c r="L18" s="260"/>
      <c r="M18" s="244"/>
    </row>
    <row r="19" spans="1:13" ht="16.5">
      <c r="A19" s="282" t="s">
        <v>244</v>
      </c>
      <c r="B19" s="283"/>
      <c r="C19" s="259"/>
      <c r="D19" s="259"/>
      <c r="E19" s="259"/>
      <c r="F19" s="252"/>
      <c r="G19" s="260"/>
      <c r="H19" s="260"/>
      <c r="I19" s="260">
        <v>11895</v>
      </c>
      <c r="J19" s="260"/>
      <c r="K19" s="260"/>
      <c r="L19" s="260"/>
      <c r="M19" s="244"/>
    </row>
    <row r="20" spans="1:13" ht="16.5">
      <c r="A20" s="282" t="s">
        <v>245</v>
      </c>
      <c r="B20" s="283"/>
      <c r="C20" s="259"/>
      <c r="D20" s="259"/>
      <c r="E20" s="259"/>
      <c r="F20" s="252"/>
      <c r="G20" s="260"/>
      <c r="H20" s="260"/>
      <c r="I20" s="260">
        <v>3447</v>
      </c>
      <c r="J20" s="260"/>
      <c r="K20" s="260"/>
      <c r="L20" s="260"/>
      <c r="M20" s="244"/>
    </row>
    <row r="21" spans="1:13" ht="16.5">
      <c r="A21" s="282" t="s">
        <v>246</v>
      </c>
      <c r="B21" s="283"/>
      <c r="C21" s="259"/>
      <c r="D21" s="259"/>
      <c r="E21" s="259"/>
      <c r="F21" s="252"/>
      <c r="G21" s="260"/>
      <c r="H21" s="260"/>
      <c r="I21" s="260">
        <v>980</v>
      </c>
      <c r="J21" s="260"/>
      <c r="K21" s="260"/>
      <c r="L21" s="260"/>
      <c r="M21" s="244"/>
    </row>
    <row r="22" spans="1:13" ht="16.5">
      <c r="A22" s="282" t="s">
        <v>247</v>
      </c>
      <c r="B22" s="283"/>
      <c r="C22" s="259"/>
      <c r="D22" s="259"/>
      <c r="E22" s="259"/>
      <c r="F22" s="252"/>
      <c r="G22" s="260"/>
      <c r="H22" s="260"/>
      <c r="I22" s="260">
        <v>21475</v>
      </c>
      <c r="J22" s="260"/>
      <c r="K22" s="260"/>
      <c r="L22" s="260"/>
      <c r="M22" s="244"/>
    </row>
    <row r="23" spans="1:13" ht="16.5">
      <c r="A23" s="282" t="s">
        <v>248</v>
      </c>
      <c r="B23" s="283"/>
      <c r="C23" s="259"/>
      <c r="D23" s="259"/>
      <c r="E23" s="259"/>
      <c r="F23" s="252"/>
      <c r="G23" s="260"/>
      <c r="H23" s="260"/>
      <c r="I23" s="260">
        <v>7077</v>
      </c>
      <c r="J23" s="260"/>
      <c r="K23" s="260"/>
      <c r="L23" s="260"/>
      <c r="M23" s="244"/>
    </row>
    <row r="24" spans="1:13" ht="16.5">
      <c r="A24" s="282" t="s">
        <v>249</v>
      </c>
      <c r="B24" s="283"/>
      <c r="C24" s="259"/>
      <c r="D24" s="259"/>
      <c r="E24" s="259"/>
      <c r="F24" s="252"/>
      <c r="G24" s="260"/>
      <c r="H24" s="260"/>
      <c r="I24" s="260"/>
      <c r="J24" s="260"/>
      <c r="K24" s="260"/>
      <c r="L24" s="260"/>
      <c r="M24" s="244"/>
    </row>
    <row r="25" spans="1:13" ht="16.5">
      <c r="A25" s="282" t="s">
        <v>250</v>
      </c>
      <c r="B25" s="283"/>
      <c r="C25" s="259"/>
      <c r="D25" s="259"/>
      <c r="E25" s="259"/>
      <c r="F25" s="252"/>
      <c r="G25" s="260"/>
      <c r="H25" s="260"/>
      <c r="I25" s="260"/>
      <c r="J25" s="260"/>
      <c r="K25" s="260"/>
      <c r="L25" s="260"/>
      <c r="M25" s="244"/>
    </row>
    <row r="26" spans="1:13" ht="16.5">
      <c r="A26" s="282" t="s">
        <v>251</v>
      </c>
      <c r="B26" s="283"/>
      <c r="C26" s="259"/>
      <c r="D26" s="259"/>
      <c r="E26" s="259"/>
      <c r="F26" s="252"/>
      <c r="G26" s="260"/>
      <c r="H26" s="260"/>
      <c r="I26" s="260"/>
      <c r="J26" s="260"/>
      <c r="K26" s="260"/>
      <c r="L26" s="260"/>
      <c r="M26" s="244"/>
    </row>
    <row r="27" spans="1:13" ht="16.5">
      <c r="A27" s="282" t="s">
        <v>252</v>
      </c>
      <c r="B27" s="283"/>
      <c r="C27" s="259"/>
      <c r="D27" s="259"/>
      <c r="E27" s="259"/>
      <c r="F27" s="252"/>
      <c r="G27" s="260"/>
      <c r="H27" s="260"/>
      <c r="I27" s="260"/>
      <c r="J27" s="260"/>
      <c r="K27" s="260"/>
      <c r="L27" s="260"/>
      <c r="M27" s="244"/>
    </row>
    <row r="28" spans="1:13" ht="16.5">
      <c r="A28" s="282" t="s">
        <v>253</v>
      </c>
      <c r="B28" s="283"/>
      <c r="C28" s="259"/>
      <c r="D28" s="259"/>
      <c r="E28" s="259"/>
      <c r="F28" s="252"/>
      <c r="G28" s="260"/>
      <c r="H28" s="260"/>
      <c r="I28" s="260"/>
      <c r="J28" s="260"/>
      <c r="K28" s="260"/>
      <c r="L28" s="260"/>
      <c r="M28" s="244"/>
    </row>
    <row r="29" spans="1:13" ht="16.5">
      <c r="A29" s="282" t="s">
        <v>254</v>
      </c>
      <c r="B29" s="283"/>
      <c r="C29" s="259"/>
      <c r="D29" s="259"/>
      <c r="E29" s="259"/>
      <c r="F29" s="252"/>
      <c r="G29" s="260"/>
      <c r="H29" s="260"/>
      <c r="I29" s="260"/>
      <c r="J29" s="260"/>
      <c r="K29" s="260"/>
      <c r="L29" s="260"/>
      <c r="M29" s="244"/>
    </row>
    <row r="30" spans="1:13" ht="16.5">
      <c r="A30" s="282" t="s">
        <v>255</v>
      </c>
      <c r="B30" s="283"/>
      <c r="C30" s="259"/>
      <c r="D30" s="259"/>
      <c r="E30" s="259"/>
      <c r="F30" s="252"/>
      <c r="G30" s="260"/>
      <c r="H30" s="260"/>
      <c r="I30" s="260"/>
      <c r="J30" s="260"/>
      <c r="K30" s="260"/>
      <c r="L30" s="260"/>
      <c r="M30" s="244"/>
    </row>
    <row r="31" spans="1:13" ht="16.5">
      <c r="A31" s="282" t="s">
        <v>256</v>
      </c>
      <c r="B31" s="283"/>
      <c r="C31" s="259"/>
      <c r="D31" s="259"/>
      <c r="E31" s="259"/>
      <c r="F31" s="252"/>
      <c r="G31" s="260"/>
      <c r="H31" s="260"/>
      <c r="I31" s="260"/>
      <c r="J31" s="260"/>
      <c r="K31" s="260"/>
      <c r="L31" s="260"/>
      <c r="M31" s="244"/>
    </row>
    <row r="32" spans="1:13" ht="16.5">
      <c r="A32" s="282" t="s">
        <v>257</v>
      </c>
      <c r="B32" s="283"/>
      <c r="C32" s="259"/>
      <c r="D32" s="259"/>
      <c r="E32" s="259"/>
      <c r="F32" s="252"/>
      <c r="G32" s="260"/>
      <c r="H32" s="260"/>
      <c r="I32" s="260"/>
      <c r="J32" s="260"/>
      <c r="K32" s="260"/>
      <c r="L32" s="260"/>
      <c r="M32" s="244"/>
    </row>
    <row r="33" spans="1:15" ht="16.5">
      <c r="A33" s="282" t="s">
        <v>258</v>
      </c>
      <c r="B33" s="283"/>
      <c r="C33" s="259"/>
      <c r="D33" s="259"/>
      <c r="E33" s="259"/>
      <c r="F33" s="252"/>
      <c r="G33" s="260"/>
      <c r="H33" s="260"/>
      <c r="I33" s="260"/>
      <c r="J33" s="260"/>
      <c r="K33" s="260"/>
      <c r="L33" s="260"/>
      <c r="M33" s="244"/>
    </row>
    <row r="34" spans="1:15" ht="16.5">
      <c r="A34" s="282" t="s">
        <v>259</v>
      </c>
      <c r="B34" s="283"/>
      <c r="C34" s="259"/>
      <c r="D34" s="259"/>
      <c r="E34" s="259"/>
      <c r="F34" s="252"/>
      <c r="G34" s="260"/>
      <c r="H34" s="260"/>
      <c r="I34" s="260"/>
      <c r="J34" s="260"/>
      <c r="K34" s="260"/>
      <c r="L34" s="260"/>
    </row>
    <row r="35" spans="1:15" ht="16.5">
      <c r="A35" s="815" t="s">
        <v>270</v>
      </c>
      <c r="B35" s="816"/>
      <c r="C35" s="262"/>
      <c r="D35" s="262"/>
      <c r="E35" s="262"/>
      <c r="F35" s="252"/>
      <c r="G35" s="263">
        <f t="shared" ref="G35:J35" si="4">SUM(G36:G38)</f>
        <v>0</v>
      </c>
      <c r="H35" s="263">
        <f t="shared" si="4"/>
        <v>0</v>
      </c>
      <c r="I35" s="263">
        <f t="shared" si="4"/>
        <v>0</v>
      </c>
      <c r="J35" s="263">
        <f t="shared" si="4"/>
        <v>0</v>
      </c>
      <c r="K35" s="263">
        <f t="shared" ref="K35" si="5">SUM(K36:K38)</f>
        <v>0</v>
      </c>
      <c r="L35" s="263">
        <f>SUM(L36:L38)</f>
        <v>0</v>
      </c>
      <c r="M35" s="256">
        <f>SUM(G35:L35)</f>
        <v>0</v>
      </c>
      <c r="N35" s="264"/>
    </row>
    <row r="36" spans="1:15" ht="16.5">
      <c r="A36" s="282" t="s">
        <v>271</v>
      </c>
      <c r="B36" s="283"/>
      <c r="C36" s="265"/>
      <c r="D36" s="265"/>
      <c r="E36" s="265"/>
      <c r="F36" s="266"/>
      <c r="G36" s="260"/>
      <c r="H36" s="260"/>
      <c r="I36" s="260"/>
      <c r="J36" s="260"/>
      <c r="K36" s="260"/>
      <c r="L36" s="260"/>
      <c r="N36" s="267"/>
    </row>
    <row r="37" spans="1:15" ht="16.5">
      <c r="A37" s="282" t="s">
        <v>240</v>
      </c>
      <c r="B37" s="283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2" t="s">
        <v>241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815" t="s">
        <v>272</v>
      </c>
      <c r="B39" s="816"/>
      <c r="C39" s="262"/>
      <c r="D39" s="262"/>
      <c r="E39" s="262"/>
      <c r="F39" s="252"/>
      <c r="G39" s="263">
        <f t="shared" ref="G39:J39" si="6">SUM(G40:G42)</f>
        <v>0</v>
      </c>
      <c r="H39" s="263">
        <f t="shared" si="6"/>
        <v>0</v>
      </c>
      <c r="I39" s="263">
        <f t="shared" si="6"/>
        <v>0</v>
      </c>
      <c r="J39" s="263">
        <f t="shared" si="6"/>
        <v>0</v>
      </c>
      <c r="K39" s="263">
        <f t="shared" ref="K39" si="7">SUM(K40:K42)</f>
        <v>0</v>
      </c>
      <c r="L39" s="263">
        <f>SUM(L40:L42)</f>
        <v>0</v>
      </c>
      <c r="M39" s="256">
        <f>SUM(G39:L39)</f>
        <v>0</v>
      </c>
      <c r="N39" s="264"/>
    </row>
    <row r="40" spans="1:15" ht="16.5">
      <c r="A40" s="282" t="s">
        <v>271</v>
      </c>
      <c r="B40" s="283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282" t="s">
        <v>240</v>
      </c>
      <c r="B41" s="283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2" t="s">
        <v>241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830" t="s">
        <v>273</v>
      </c>
      <c r="B43" s="831"/>
      <c r="C43" s="254"/>
      <c r="D43" s="254"/>
      <c r="E43" s="254"/>
      <c r="F43" s="252"/>
      <c r="G43" s="268">
        <f>G8+G10+G14-G35-G39</f>
        <v>1099971</v>
      </c>
      <c r="H43" s="268">
        <f t="shared" ref="H43:L43" si="8">H8+H10+H14-H35-H39</f>
        <v>1100041</v>
      </c>
      <c r="I43" s="268">
        <f t="shared" si="8"/>
        <v>8097905</v>
      </c>
      <c r="J43" s="268">
        <f t="shared" si="8"/>
        <v>0</v>
      </c>
      <c r="K43" s="268">
        <f t="shared" ref="K43" si="9">K8+K10+K14-K35-K39</f>
        <v>500</v>
      </c>
      <c r="L43" s="268">
        <f t="shared" si="8"/>
        <v>643651</v>
      </c>
      <c r="M43" s="256">
        <f>SUM(G43:L43)</f>
        <v>10942068</v>
      </c>
      <c r="N43" s="269"/>
      <c r="O43" s="270"/>
    </row>
    <row r="44" spans="1:15" ht="16.5">
      <c r="A44" s="402"/>
      <c r="B44" s="403" t="s">
        <v>423</v>
      </c>
      <c r="C44" s="254"/>
      <c r="D44" s="254"/>
      <c r="E44" s="254"/>
      <c r="F44" s="252"/>
      <c r="G44" s="401">
        <f>G9</f>
        <v>0</v>
      </c>
      <c r="H44" s="401">
        <f t="shared" ref="H44:L44" si="10">H9</f>
        <v>0</v>
      </c>
      <c r="I44" s="401">
        <f t="shared" si="10"/>
        <v>0</v>
      </c>
      <c r="J44" s="401">
        <f t="shared" si="10"/>
        <v>0</v>
      </c>
      <c r="K44" s="401">
        <f t="shared" ref="K44" si="11">K9</f>
        <v>0</v>
      </c>
      <c r="L44" s="401">
        <f t="shared" si="10"/>
        <v>0</v>
      </c>
      <c r="M44" s="256">
        <f>SUM(G44:L44)</f>
        <v>0</v>
      </c>
      <c r="N44" s="269"/>
      <c r="O44" s="270"/>
    </row>
    <row r="45" spans="1:15" ht="21">
      <c r="A45" s="830" t="s">
        <v>274</v>
      </c>
      <c r="B45" s="831"/>
      <c r="C45" s="254"/>
      <c r="D45" s="254"/>
      <c r="E45" s="254"/>
      <c r="F45" s="252"/>
      <c r="G45" s="835">
        <f>SUM(G43:L44)</f>
        <v>10942068</v>
      </c>
      <c r="H45" s="836"/>
      <c r="I45" s="836"/>
      <c r="J45" s="836"/>
      <c r="K45" s="836"/>
      <c r="L45" s="837"/>
      <c r="M45" s="256">
        <f>SUM(G45:L45)</f>
        <v>10942068</v>
      </c>
      <c r="N45" s="269"/>
      <c r="O45" s="270"/>
    </row>
    <row r="46" spans="1:15" ht="16.5">
      <c r="B46" s="271"/>
      <c r="C46" s="247"/>
      <c r="D46" s="247"/>
      <c r="E46" s="247"/>
      <c r="F46" s="247"/>
      <c r="G46" s="248"/>
      <c r="H46" s="248"/>
      <c r="I46" s="248"/>
      <c r="J46" s="248"/>
      <c r="K46" s="248"/>
      <c r="L46" s="248"/>
      <c r="N46" s="272"/>
      <c r="O46" s="273"/>
    </row>
    <row r="47" spans="1:15" ht="16.5">
      <c r="B47" s="271" t="s">
        <v>468</v>
      </c>
      <c r="C47" s="838" t="s">
        <v>469</v>
      </c>
      <c r="D47" s="838"/>
      <c r="E47" s="838"/>
      <c r="F47" s="838"/>
      <c r="G47" s="274"/>
      <c r="H47" s="274" t="s">
        <v>260</v>
      </c>
      <c r="I47" s="274"/>
      <c r="J47" s="274"/>
      <c r="K47" s="274"/>
      <c r="L47" s="248"/>
      <c r="N47" s="275"/>
      <c r="O47" s="273"/>
    </row>
    <row r="48" spans="1:15" s="428" customFormat="1" ht="16.5">
      <c r="B48" s="421"/>
      <c r="C48" s="422"/>
      <c r="D48" s="422"/>
      <c r="E48" s="422"/>
      <c r="F48" s="422" t="s">
        <v>425</v>
      </c>
      <c r="G48" s="423">
        <v>1099971</v>
      </c>
      <c r="H48" s="423">
        <v>1100041</v>
      </c>
      <c r="I48" s="423">
        <v>8097905</v>
      </c>
      <c r="J48" s="423">
        <v>0</v>
      </c>
      <c r="K48" s="423">
        <v>500</v>
      </c>
      <c r="L48" s="423">
        <v>643651</v>
      </c>
      <c r="M48" s="429"/>
      <c r="N48" s="424"/>
      <c r="O48" s="425"/>
    </row>
    <row r="49" spans="3:16" s="428" customFormat="1" ht="16.5">
      <c r="C49" s="430"/>
      <c r="D49" s="430"/>
      <c r="E49" s="430"/>
      <c r="F49" s="430"/>
      <c r="G49" s="431">
        <f>G43-G48</f>
        <v>0</v>
      </c>
      <c r="H49" s="431">
        <f t="shared" ref="H49:L49" si="12">H43-H48</f>
        <v>0</v>
      </c>
      <c r="I49" s="431">
        <f t="shared" si="12"/>
        <v>0</v>
      </c>
      <c r="J49" s="431">
        <f t="shared" si="12"/>
        <v>0</v>
      </c>
      <c r="K49" s="431">
        <f t="shared" ref="K49" si="13">K43-K48</f>
        <v>0</v>
      </c>
      <c r="L49" s="431">
        <f t="shared" si="12"/>
        <v>0</v>
      </c>
      <c r="M49" s="429"/>
      <c r="N49" s="426"/>
      <c r="O49" s="427"/>
      <c r="P49" s="427"/>
    </row>
    <row r="50" spans="3:16" ht="16.5">
      <c r="N50" s="277"/>
      <c r="O50" s="277"/>
      <c r="P50" s="277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38">
    <cfRule type="expression" dxfId="10" priority="10" stopIfTrue="1">
      <formula>AND($N15&gt;0,$N15=$O15)</formula>
    </cfRule>
  </conditionalFormatting>
  <conditionalFormatting sqref="C39:E42">
    <cfRule type="expression" dxfId="9" priority="8" stopIfTrue="1">
      <formula>AND($N39&gt;0,$N39=$O39)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49:L4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622" t="s">
        <v>143</v>
      </c>
      <c r="B1" s="622"/>
    </row>
    <row r="2" spans="1:8">
      <c r="A2" s="623" t="s">
        <v>144</v>
      </c>
      <c r="B2" s="622"/>
    </row>
    <row r="3" spans="1:8">
      <c r="A3" s="622" t="s">
        <v>145</v>
      </c>
      <c r="B3" s="622"/>
    </row>
    <row r="4" spans="1:8" ht="28.5">
      <c r="A4" s="622" t="s">
        <v>146</v>
      </c>
      <c r="B4" s="622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623" t="s">
        <v>147</v>
      </c>
      <c r="B5" s="622"/>
      <c r="C5" s="152" t="str">
        <f>VLOOKUP("應付費用",平衡!$N$13:$T$113,4,0)</f>
        <v>210204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9534000</v>
      </c>
    </row>
    <row r="6" spans="1:8" ht="15" thickBot="1">
      <c r="A6" s="620" t="s">
        <v>148</v>
      </c>
      <c r="B6" s="621"/>
      <c r="C6" s="150" t="s">
        <v>162</v>
      </c>
      <c r="D6" s="165">
        <f>VLOOKUP("銀行存款-縣庫存款",平衡!$E$13:$H$90,4,0)+VLOOKUP("零用及週轉金",平衡!$D$13:$H$90,5,0)</f>
        <v>7829546</v>
      </c>
      <c r="E6" s="165" t="e">
        <f>VLOOKUP("基金餘額",平衡!$K$13:$T$113,7,0)+C5</f>
        <v>#N/A</v>
      </c>
      <c r="F6" s="136" t="s">
        <v>161</v>
      </c>
    </row>
    <row r="7" spans="1:8" ht="15" thickBot="1">
      <c r="A7" s="620" t="s">
        <v>149</v>
      </c>
      <c r="B7" s="621"/>
      <c r="C7" s="150" t="s">
        <v>163</v>
      </c>
      <c r="D7" s="165">
        <f>VLOOKUP("銀行存款-專戶存款",平衡!$E$13:$H$90,4,0)+VLOOKUP("其他預付款",平衡!$D$13:$H$90,5,0)</f>
        <v>11665026</v>
      </c>
      <c r="E7" s="165">
        <f>VLOOKUP("應付代收款",平衡!$N$13:$T$90,7,0)+VLOOKUP("存入保證金",平衡!$N$13:$T$90,7,0)</f>
        <v>11665026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VLOOKUP("合計：",平衡!$A$13:$H$90,8,0)</f>
        <v>348860920</v>
      </c>
      <c r="E8" s="166">
        <f>VLOOKUP("合計：",平衡!$K$13:$T$90,10,0)</f>
        <v>348860920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VLOOKUP("基金用途",餘絀表!$C$16:$T$48,18,0)</f>
        <v>116204190</v>
      </c>
      <c r="E9" s="166">
        <f>VLOOKUP("合       計",各項費用!$D$12:$Q$86,14)</f>
        <v>116204190</v>
      </c>
      <c r="F9" s="166">
        <f>縣庫對帳!P3</f>
        <v>116204190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VLOOKUP("基金來源",餘絀表!$C$16:$T$48,18,0)</f>
        <v>115417436</v>
      </c>
      <c r="E10" s="166">
        <f>縣庫對帳!N3</f>
        <v>115417436</v>
      </c>
      <c r="F10" s="166"/>
      <c r="G10" s="166"/>
      <c r="H10" s="132" t="e">
        <f>D13-E13</f>
        <v>#N/A</v>
      </c>
    </row>
    <row r="11" spans="1:8" ht="27" customHeight="1">
      <c r="A11" s="615" t="s">
        <v>27</v>
      </c>
      <c r="B11" s="615" t="s">
        <v>129</v>
      </c>
      <c r="C11" s="150" t="s">
        <v>318</v>
      </c>
      <c r="D11" s="166">
        <f>VLOOKUP("政府撥入收入",餘絀表!$C$16:$T$48,18,0)</f>
        <v>115123255</v>
      </c>
      <c r="E11" s="166"/>
      <c r="F11" s="166">
        <f>VLOOKUP("政府撥入收入",收支!$B$14:$N$64,13,0)</f>
        <v>115123255</v>
      </c>
      <c r="G11" s="166">
        <f>VLOOKUP("政府撥入收入",對照表!$B$1:$E$29,4,0)</f>
        <v>115123255</v>
      </c>
    </row>
    <row r="12" spans="1:8" ht="28.5">
      <c r="A12" s="618"/>
      <c r="B12" s="618"/>
      <c r="C12" s="150" t="s">
        <v>319</v>
      </c>
      <c r="D12" s="166"/>
      <c r="E12" s="166"/>
      <c r="F12" s="166">
        <f>VLOOKUP("收入",收支!$A$14:$N$64,14,0)</f>
        <v>117031040</v>
      </c>
      <c r="G12" s="166">
        <f>VLOOKUP("基金來源",對照表!$A$1:$E$29,5,0)</f>
        <v>117031040</v>
      </c>
    </row>
    <row r="13" spans="1:8">
      <c r="A13" s="618"/>
      <c r="B13" s="618"/>
      <c r="C13" s="150" t="s">
        <v>304</v>
      </c>
      <c r="D13" s="166" t="e">
        <f>IF(封面!J10=12,0,VLOOKUP($G$13,平衡!$N$13:$T$90,7,0))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-8114481</v>
      </c>
      <c r="G13" s="164" t="e">
        <f>IF(E13&gt;=0,"本期賸餘","本期短絀")</f>
        <v>#N/A</v>
      </c>
    </row>
    <row r="14" spans="1:8">
      <c r="A14" s="618"/>
      <c r="B14" s="618"/>
      <c r="C14" s="150" t="s">
        <v>305</v>
      </c>
      <c r="D14" s="166">
        <f>IF(封面!J10=12,0,VLOOKUP("本期賸餘(短絀－)",餘絀表!$C$16:$T$51,18,0))</f>
        <v>-786754</v>
      </c>
      <c r="E14" s="166"/>
      <c r="F14" s="166">
        <f>IF(封面!K11=12,0,VLOOKUP("本期賸餘(短絀)",對照表!$A$1:$C$29,3,0))</f>
        <v>-786754</v>
      </c>
      <c r="G14" s="164"/>
    </row>
    <row r="15" spans="1:8">
      <c r="A15" s="618"/>
      <c r="B15" s="618"/>
      <c r="C15" s="150" t="s">
        <v>306</v>
      </c>
      <c r="D15" s="166">
        <f>IF(封面!J12=12,0,VLOOKUP($G$15,平衡!$K$13:$T$90,10,0))</f>
        <v>334995882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619"/>
      <c r="B16" s="619"/>
      <c r="C16" s="150" t="s">
        <v>152</v>
      </c>
      <c r="D16" s="166">
        <f>VLOOKUP("國民教育計畫",主要業務!$B$15:$J$23,7,0)</f>
        <v>19899459</v>
      </c>
      <c r="E16" s="166">
        <f>VLOOKUP("國民教育計畫",餘絀表!$C$16:$T$48,9,0)</f>
        <v>0</v>
      </c>
    </row>
    <row r="17" spans="1:8">
      <c r="A17" s="615" t="s">
        <v>141</v>
      </c>
      <c r="B17" s="615" t="s">
        <v>130</v>
      </c>
      <c r="C17" s="150" t="s">
        <v>153</v>
      </c>
      <c r="D17" s="166">
        <f>主要業務!H17</f>
        <v>116075942</v>
      </c>
      <c r="E17" s="166">
        <f>VLOOKUP("國民教育計畫",餘絀表!$C$16:$T$48,18,0)</f>
        <v>116075942</v>
      </c>
    </row>
    <row r="18" spans="1:8">
      <c r="A18" s="616"/>
      <c r="B18" s="618"/>
      <c r="C18" s="150" t="s">
        <v>154</v>
      </c>
      <c r="D18" s="166">
        <f>主要業務!H20</f>
        <v>61824</v>
      </c>
      <c r="E18" s="166">
        <f>VLOOKUP("建築及設備計畫",餘絀表!$C$16:$T$48,9,0)</f>
        <v>0</v>
      </c>
    </row>
    <row r="19" spans="1:8">
      <c r="A19" s="616"/>
      <c r="B19" s="618"/>
      <c r="C19" s="150" t="s">
        <v>155</v>
      </c>
      <c r="D19" s="166">
        <f>主要業務!H22</f>
        <v>128248</v>
      </c>
      <c r="E19" s="166">
        <f>VLOOKUP("建築及設備計畫",餘絀表!$C$16:$T$48,18,0)</f>
        <v>128248</v>
      </c>
    </row>
    <row r="20" spans="1:8">
      <c r="A20" s="616"/>
      <c r="B20" s="618"/>
      <c r="C20" s="150" t="s">
        <v>308</v>
      </c>
      <c r="D20" s="166">
        <f>VLOOKUP("用人費用",各項費用!$F$12:$Q$100,12,0)</f>
        <v>113077795</v>
      </c>
      <c r="E20" s="166">
        <f>VLOOKUP("人事支出",收支!$B$14:$N$64,13,0)</f>
        <v>113077795</v>
      </c>
      <c r="F20" s="166">
        <f>VLOOKUP("用人費用",對照表!$B$1:$E$29,4,0)</f>
        <v>113077795</v>
      </c>
    </row>
    <row r="21" spans="1:8">
      <c r="A21" s="616"/>
      <c r="B21" s="618"/>
      <c r="C21" s="150" t="s">
        <v>309</v>
      </c>
      <c r="D21" s="166">
        <f>IF(E21=0,0,資產!F10+H21)</f>
        <v>7270029</v>
      </c>
      <c r="E21" s="166">
        <f>VLOOKUP("折舊、折耗及攤銷",收支!$B$14:$N$64,13,0)</f>
        <v>8811978</v>
      </c>
      <c r="F21" s="166">
        <f>VLOOKUP("折舊、折耗及攤銷",對照表!$H$1:$J$29,3,0)</f>
        <v>8811978</v>
      </c>
      <c r="G21" s="363" t="s">
        <v>320</v>
      </c>
      <c r="H21" s="364">
        <f>464532-4645</f>
        <v>459887</v>
      </c>
    </row>
    <row r="22" spans="1:8">
      <c r="A22" s="616"/>
      <c r="B22" s="618"/>
      <c r="C22" s="150" t="s">
        <v>280</v>
      </c>
      <c r="D22" s="165">
        <v>0</v>
      </c>
      <c r="E22" s="165"/>
      <c r="F22" s="135"/>
    </row>
    <row r="23" spans="1:8">
      <c r="A23" s="616"/>
      <c r="B23" s="618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616"/>
      <c r="B24" s="618"/>
      <c r="C24" s="150" t="s">
        <v>283</v>
      </c>
      <c r="D24" s="165"/>
      <c r="E24" s="165"/>
      <c r="F24" s="135" t="s">
        <v>284</v>
      </c>
    </row>
    <row r="25" spans="1:8">
      <c r="A25" s="616"/>
      <c r="B25" s="618"/>
      <c r="C25" s="150" t="s">
        <v>285</v>
      </c>
      <c r="D25" s="165">
        <v>0</v>
      </c>
      <c r="E25" s="165"/>
      <c r="F25" s="135"/>
    </row>
    <row r="26" spans="1:8" ht="15" thickBot="1">
      <c r="A26" s="617"/>
      <c r="B26" s="619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615" t="s">
        <v>135</v>
      </c>
      <c r="B30" s="615" t="s">
        <v>136</v>
      </c>
      <c r="D30" s="166"/>
      <c r="E30" s="166"/>
      <c r="F30" s="153"/>
    </row>
    <row r="31" spans="1:8">
      <c r="A31" s="618"/>
      <c r="B31" s="618"/>
      <c r="D31" s="166"/>
      <c r="E31" s="166"/>
      <c r="F31" s="153"/>
    </row>
    <row r="32" spans="1:8" ht="15" thickBot="1">
      <c r="A32" s="617"/>
      <c r="B32" s="617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90" priority="71" stopIfTrue="1">
      <formula>$D$16&lt;&gt;$E$16</formula>
    </cfRule>
  </conditionalFormatting>
  <conditionalFormatting sqref="D32:E32">
    <cfRule type="expression" dxfId="89" priority="64" stopIfTrue="1">
      <formula>$D$32&lt;&gt;$E$32</formula>
    </cfRule>
  </conditionalFormatting>
  <conditionalFormatting sqref="D17:E17">
    <cfRule type="expression" dxfId="88" priority="62" stopIfTrue="1">
      <formula>$D17&lt;&gt;$E17</formula>
    </cfRule>
  </conditionalFormatting>
  <conditionalFormatting sqref="D18:E18 E19">
    <cfRule type="expression" dxfId="87" priority="61" stopIfTrue="1">
      <formula>$D$18&lt;&gt;$E$18</formula>
    </cfRule>
  </conditionalFormatting>
  <conditionalFormatting sqref="E28">
    <cfRule type="expression" dxfId="86" priority="55" stopIfTrue="1">
      <formula>$D$30&lt;&gt;$E$30</formula>
    </cfRule>
  </conditionalFormatting>
  <conditionalFormatting sqref="E29">
    <cfRule type="expression" dxfId="85" priority="54" stopIfTrue="1">
      <formula>$F$31&lt;&gt;0</formula>
    </cfRule>
  </conditionalFormatting>
  <conditionalFormatting sqref="E30">
    <cfRule type="expression" dxfId="84" priority="51" stopIfTrue="1">
      <formula>$D$30&lt;&gt;$E$30</formula>
    </cfRule>
  </conditionalFormatting>
  <conditionalFormatting sqref="E31">
    <cfRule type="expression" dxfId="83" priority="50" stopIfTrue="1">
      <formula>$F$31&lt;&gt;0</formula>
    </cfRule>
  </conditionalFormatting>
  <conditionalFormatting sqref="D27 D22:E23">
    <cfRule type="expression" dxfId="82" priority="48" stopIfTrue="1">
      <formula>$D23&lt;&gt;$E23</formula>
    </cfRule>
  </conditionalFormatting>
  <conditionalFormatting sqref="E28">
    <cfRule type="expression" dxfId="81" priority="47" stopIfTrue="1">
      <formula>$D$30&lt;&gt;$E$30</formula>
    </cfRule>
  </conditionalFormatting>
  <conditionalFormatting sqref="E28">
    <cfRule type="expression" dxfId="80" priority="46" stopIfTrue="1">
      <formula>$D28&lt;&gt;$E28</formula>
    </cfRule>
  </conditionalFormatting>
  <conditionalFormatting sqref="D28">
    <cfRule type="expression" dxfId="79" priority="45" stopIfTrue="1">
      <formula>$D28&lt;&gt;$E28</formula>
    </cfRule>
  </conditionalFormatting>
  <conditionalFormatting sqref="D24:D26">
    <cfRule type="expression" dxfId="78" priority="44" stopIfTrue="1">
      <formula>$D24&lt;&gt;$E24</formula>
    </cfRule>
  </conditionalFormatting>
  <conditionalFormatting sqref="D27">
    <cfRule type="expression" dxfId="77" priority="43" stopIfTrue="1">
      <formula>$D27&lt;&gt;$E27</formula>
    </cfRule>
  </conditionalFormatting>
  <conditionalFormatting sqref="D14 F14:F15">
    <cfRule type="expression" dxfId="76" priority="42">
      <formula>$D$14&lt;&gt;$F$14</formula>
    </cfRule>
  </conditionalFormatting>
  <conditionalFormatting sqref="F15">
    <cfRule type="expression" dxfId="75" priority="34">
      <formula>$E$15&lt;&gt;$F$15</formula>
    </cfRule>
    <cfRule type="expression" dxfId="74" priority="35">
      <formula>$D$15&lt;&gt;$F$15</formula>
    </cfRule>
    <cfRule type="expression" dxfId="73" priority="40">
      <formula>$D$14&lt;&gt;$F$14</formula>
    </cfRule>
  </conditionalFormatting>
  <conditionalFormatting sqref="D15">
    <cfRule type="expression" dxfId="72" priority="38">
      <formula>$D$15&lt;&gt;$F$15</formula>
    </cfRule>
    <cfRule type="expression" dxfId="71" priority="39">
      <formula>$D$15&lt;&gt;$E$15</formula>
    </cfRule>
  </conditionalFormatting>
  <conditionalFormatting sqref="E15">
    <cfRule type="expression" dxfId="70" priority="36">
      <formula>$E$15&lt;&gt;$F$15</formula>
    </cfRule>
    <cfRule type="expression" dxfId="69" priority="37">
      <formula>$D$15&lt;&gt;$E$15</formula>
    </cfRule>
  </conditionalFormatting>
  <conditionalFormatting sqref="D7:E7">
    <cfRule type="expression" dxfId="68" priority="33">
      <formula>$D$7&lt;&gt;$E$7</formula>
    </cfRule>
  </conditionalFormatting>
  <conditionalFormatting sqref="D8:E8">
    <cfRule type="expression" dxfId="67" priority="32">
      <formula>$D$8&lt;&gt;$E$8</formula>
    </cfRule>
  </conditionalFormatting>
  <conditionalFormatting sqref="E16:E17">
    <cfRule type="expression" dxfId="66" priority="74" stopIfTrue="1">
      <formula>#REF!&lt;&gt;#REF!</formula>
    </cfRule>
  </conditionalFormatting>
  <conditionalFormatting sqref="E18:E19">
    <cfRule type="expression" dxfId="65" priority="95" stopIfTrue="1">
      <formula>#REF!&lt;&gt;#REF!</formula>
    </cfRule>
  </conditionalFormatting>
  <conditionalFormatting sqref="E6:E7">
    <cfRule type="expression" dxfId="64" priority="97" stopIfTrue="1">
      <formula>$D13&lt;&gt;$F13</formula>
    </cfRule>
  </conditionalFormatting>
  <conditionalFormatting sqref="D20:F20">
    <cfRule type="expression" dxfId="63" priority="16">
      <formula>$D$20&lt;&gt;$E$20</formula>
    </cfRule>
  </conditionalFormatting>
  <conditionalFormatting sqref="D20:F20">
    <cfRule type="expression" dxfId="62" priority="15">
      <formula>$E$20&lt;&gt;$F$20</formula>
    </cfRule>
  </conditionalFormatting>
  <conditionalFormatting sqref="D21:F21">
    <cfRule type="expression" dxfId="61" priority="10">
      <formula>$D$21&lt;&gt;$E$21</formula>
    </cfRule>
  </conditionalFormatting>
  <conditionalFormatting sqref="D21:F21">
    <cfRule type="expression" dxfId="60" priority="9">
      <formula>$D$21&lt;&gt;$F$21</formula>
    </cfRule>
  </conditionalFormatting>
  <conditionalFormatting sqref="D9:F9">
    <cfRule type="expression" dxfId="59" priority="6">
      <formula>$D$9&lt;&gt;$F$9</formula>
    </cfRule>
    <cfRule type="expression" dxfId="58" priority="7">
      <formula>$D$9&lt;&gt;$E$9</formula>
    </cfRule>
  </conditionalFormatting>
  <conditionalFormatting sqref="D10:G10">
    <cfRule type="expression" dxfId="57" priority="3">
      <formula>$D$10&lt;&gt;$E$10</formula>
    </cfRule>
  </conditionalFormatting>
  <conditionalFormatting sqref="F12:G12">
    <cfRule type="expression" dxfId="56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715" t="str">
        <f>封面!$A$4</f>
        <v>彰化縣地方教育發展基金－彰化縣彰化市民生國民小學</v>
      </c>
      <c r="B1" s="715"/>
      <c r="C1" s="715"/>
      <c r="D1" s="715"/>
      <c r="E1" s="715"/>
      <c r="F1" s="715"/>
      <c r="G1" s="715"/>
      <c r="H1" s="715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32" t="s">
        <v>38</v>
      </c>
      <c r="B4" s="732"/>
      <c r="C4" s="732"/>
      <c r="D4" s="732"/>
      <c r="E4" s="732"/>
      <c r="F4" s="732"/>
      <c r="G4" s="732"/>
      <c r="H4" s="732"/>
    </row>
    <row r="5" spans="1:16" ht="6.75" customHeight="1"/>
    <row r="6" spans="1:16" ht="16.5">
      <c r="A6" s="716" t="str">
        <f>封面!$E$10&amp;封面!$H$10&amp;封面!$I$10&amp;封面!$J$10&amp;封面!$K$10&amp;封面!L10</f>
        <v>中華民國114年9月份</v>
      </c>
      <c r="B6" s="716"/>
      <c r="C6" s="716"/>
      <c r="D6" s="716"/>
      <c r="E6" s="716"/>
      <c r="F6" s="716"/>
      <c r="G6" s="716"/>
      <c r="H6" s="716"/>
    </row>
    <row r="7" spans="1:16" ht="14.25" customHeight="1">
      <c r="A7" s="668" t="s">
        <v>39</v>
      </c>
      <c r="B7" s="668"/>
      <c r="C7" s="668"/>
      <c r="D7" s="668"/>
      <c r="E7" s="668"/>
      <c r="F7" s="668"/>
      <c r="G7" s="668"/>
      <c r="H7" s="668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43" t="s">
        <v>40</v>
      </c>
      <c r="I9" s="126"/>
    </row>
    <row r="10" spans="1:16" ht="14.25" customHeight="1">
      <c r="A10" s="839" t="s">
        <v>41</v>
      </c>
      <c r="B10" s="841"/>
      <c r="C10" s="848" t="s">
        <v>51</v>
      </c>
      <c r="D10" s="841" t="s">
        <v>52</v>
      </c>
      <c r="E10" s="848" t="s">
        <v>53</v>
      </c>
      <c r="F10" s="848" t="s">
        <v>54</v>
      </c>
      <c r="G10" s="839" t="s">
        <v>42</v>
      </c>
      <c r="H10" s="844"/>
      <c r="I10" s="126"/>
      <c r="K10" s="174" t="s">
        <v>188</v>
      </c>
      <c r="L10" s="174" t="s">
        <v>189</v>
      </c>
      <c r="M10" s="846" t="s">
        <v>202</v>
      </c>
      <c r="N10" s="850" t="s">
        <v>214</v>
      </c>
      <c r="O10" s="847" t="s">
        <v>212</v>
      </c>
    </row>
    <row r="11" spans="1:16" ht="14.25">
      <c r="A11" s="840"/>
      <c r="B11" s="842"/>
      <c r="C11" s="849"/>
      <c r="D11" s="842"/>
      <c r="E11" s="849"/>
      <c r="F11" s="849"/>
      <c r="G11" s="840"/>
      <c r="H11" s="845"/>
      <c r="I11" s="126"/>
      <c r="M11" s="633"/>
      <c r="N11" s="851"/>
      <c r="O11" s="633"/>
      <c r="P11" s="212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D15-[3]固定項目!D15</f>
        <v>-761342</v>
      </c>
      <c r="L15" s="214">
        <f>E15-[3]固定項目!E15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D16-[3]固定項目!D16</f>
        <v>0</v>
      </c>
      <c r="L16" s="215">
        <f>E16-[3]固定項目!E16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D17-[3]固定項目!D17</f>
        <v>0</v>
      </c>
      <c r="L17" s="215">
        <f>E17-[3]固定項目!E17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D18-[4]固定項目!D18</f>
        <v>0</v>
      </c>
      <c r="L18" s="215">
        <f>E18-[4]固定項目!E18</f>
        <v>0</v>
      </c>
      <c r="O18" s="216">
        <f>M18-N18+[4]固定項目!O18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D19-[4]固定項目!D20</f>
        <v>0</v>
      </c>
      <c r="L19" s="215">
        <f>E19-[4]固定項目!E20</f>
        <v>0</v>
      </c>
      <c r="O19" s="216">
        <f>M19-N19+[4]固定項目!O20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D20-[4]固定項目!D21</f>
        <v>0</v>
      </c>
      <c r="L20" s="215">
        <f>E20-[4]固定項目!E21</f>
        <v>0</v>
      </c>
      <c r="O20" s="216">
        <f>M20-N20+[4]固定項目!O21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D21-[4]固定項目!D23</f>
        <v>0</v>
      </c>
      <c r="L21" s="215">
        <f>E21-[4]固定項目!E23</f>
        <v>0</v>
      </c>
      <c r="O21" s="216">
        <f>M21-N21+[4]固定項目!O23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D22-[4]固定項目!D24</f>
        <v>-65606</v>
      </c>
      <c r="L22" s="215">
        <f>E22-[4]固定項目!E24</f>
        <v>0</v>
      </c>
      <c r="M22" s="199">
        <v>32803</v>
      </c>
      <c r="O22" s="216">
        <f>M22-N22+[4]固定項目!O24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D23-[4]固定項目!D26</f>
        <v>0</v>
      </c>
      <c r="L23" s="215">
        <f>E23-[4]固定項目!E26</f>
        <v>0</v>
      </c>
      <c r="O23" s="216">
        <f>M23-N23+[4]固定項目!O26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D24-[4]固定項目!D27</f>
        <v>0</v>
      </c>
      <c r="L24" s="215">
        <f>E24-[4]固定項目!E27</f>
        <v>-462500</v>
      </c>
      <c r="M24" s="199">
        <v>83429</v>
      </c>
      <c r="O24" s="216">
        <f>M24-N24+[4]固定項目!O27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D25-[4]固定項目!D29</f>
        <v>0</v>
      </c>
      <c r="L25" s="215">
        <f>E25-[4]固定項目!E29</f>
        <v>0</v>
      </c>
      <c r="O25" s="216">
        <f>M25-N25+[4]固定項目!O29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D26-[4]固定項目!D30</f>
        <v>-112736</v>
      </c>
      <c r="L26" s="215">
        <f>E26-[4]固定項目!E30</f>
        <v>-343611</v>
      </c>
      <c r="M26" s="199">
        <v>24242</v>
      </c>
      <c r="O26" s="216">
        <f>M26-N26+[4]固定項目!O30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D27-[4]固定項目!D32</f>
        <v>0</v>
      </c>
      <c r="L27" s="215">
        <f>E27-[4]固定項目!E32</f>
        <v>0</v>
      </c>
      <c r="O27" s="216">
        <f>M27-N27+[4]固定項目!O32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D28-[4]固定項目!D33</f>
        <v>0</v>
      </c>
      <c r="L28" s="215">
        <f>E28-[4]固定項目!E33</f>
        <v>-98000</v>
      </c>
      <c r="M28" s="199">
        <v>5018</v>
      </c>
      <c r="O28" s="216">
        <f>M28-N28+[4]固定項目!O33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D29-[4]固定項目!D35</f>
        <v>0</v>
      </c>
      <c r="L29" s="215">
        <f>E29-[4]固定項目!E35</f>
        <v>0</v>
      </c>
      <c r="O29" s="216">
        <f>M29-N29+[4]固定項目!O35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D30-[4]固定項目!D36</f>
        <v>-596000</v>
      </c>
      <c r="L30" s="215">
        <f>E30-[4]固定項目!E36</f>
        <v>-111600</v>
      </c>
      <c r="M30" s="199">
        <v>13923</v>
      </c>
      <c r="O30" s="216">
        <f>M30-N30+[4]固定項目!O36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D31-[4]固定項目!D38</f>
        <v>0</v>
      </c>
      <c r="L31" s="215">
        <f>E31-[4]固定項目!E38</f>
        <v>0</v>
      </c>
      <c r="O31" s="216">
        <f>M31-N31+[4]固定項目!O38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D32-[4]固定項目!D39</f>
        <v>0</v>
      </c>
      <c r="L32" s="215">
        <f>E32-[4]固定項目!E39</f>
        <v>0</v>
      </c>
      <c r="O32" s="216">
        <f>M32-N32+[4]固定項目!O39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D33-[4]固定項目!D41</f>
        <v>0</v>
      </c>
      <c r="L33" s="215">
        <f>E33-[4]固定項目!E41</f>
        <v>0</v>
      </c>
      <c r="O33" s="216">
        <f>M33-N33+[4]固定項目!O41</f>
        <v>0</v>
      </c>
      <c r="P33" s="211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D34-[4]固定項目!D42</f>
        <v>0</v>
      </c>
      <c r="L34" s="215">
        <f>E34-[4]固定項目!E42</f>
        <v>0</v>
      </c>
      <c r="M34" s="213"/>
      <c r="N34" s="213">
        <f>E34</f>
        <v>0</v>
      </c>
      <c r="O34" s="216">
        <f>M34-N34+[4]固定項目!O42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D35-[4]固定項目!D44</f>
        <v>0</v>
      </c>
      <c r="L35" s="215">
        <f>E35-[4]固定項目!E44</f>
        <v>0</v>
      </c>
      <c r="O35" s="216">
        <f>M35-N35+[4]固定項目!O44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D36-[4]固定項目!D45</f>
        <v>0</v>
      </c>
      <c r="L36" s="215">
        <f>E36-[4]固定項目!E45</f>
        <v>0</v>
      </c>
      <c r="O36" s="216">
        <f>M36-N36+[4]固定項目!O45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M37-N37+[4]固定項目!O47</f>
        <v>0</v>
      </c>
      <c r="P37" s="211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5"/>
      <c r="H38" s="13"/>
      <c r="O38" s="216">
        <f>M38-N38+[4]固定項目!O48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M39-N39+[4]固定項目!O50</f>
        <v>0</v>
      </c>
      <c r="P39" s="211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5"/>
      <c r="H40" s="13"/>
      <c r="O40" s="216">
        <f>M40-N40+[4]固定項目!O51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M41-N41+[4]固定項目!O53</f>
        <v>0</v>
      </c>
      <c r="P41" s="211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5"/>
      <c r="H42" s="13"/>
      <c r="O42" s="216">
        <f>M42-N42+[4]固定項目!O54</f>
        <v>0</v>
      </c>
      <c r="P42" s="21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85" t="s">
        <v>82</v>
      </c>
      <c r="B1" s="886"/>
      <c r="C1" s="886"/>
      <c r="D1" s="886"/>
      <c r="E1" s="886"/>
      <c r="F1" s="886"/>
      <c r="G1" s="886"/>
      <c r="H1" s="886"/>
      <c r="I1" s="886"/>
      <c r="J1" s="886"/>
      <c r="K1" s="886"/>
      <c r="L1" s="886"/>
      <c r="M1" s="886"/>
      <c r="N1" s="886"/>
      <c r="O1" s="886"/>
      <c r="P1" s="886"/>
      <c r="Q1" s="886"/>
      <c r="R1" s="887"/>
    </row>
    <row r="2" spans="1:19">
      <c r="A2" s="888" t="str">
        <f>"茲列出 貴機關"&amp;封面!H10&amp;封面!J10&amp;"01至"&amp;封面!H10&amp;封面!J10&amp;封面!O10&amp;"歲出分配餘額暨支付明細，送請詳加核對"</f>
        <v>茲列出 貴機關114901至114930歲出分配餘額暨支付明細，送請詳加核對</v>
      </c>
      <c r="B2" s="889"/>
      <c r="C2" s="889"/>
      <c r="D2" s="889"/>
      <c r="E2" s="889"/>
      <c r="F2" s="889"/>
      <c r="G2" s="889"/>
      <c r="H2" s="889"/>
      <c r="I2" s="889"/>
      <c r="J2" s="889"/>
      <c r="K2" s="889"/>
      <c r="L2" s="889"/>
      <c r="M2" s="889"/>
      <c r="N2" s="889"/>
      <c r="O2" s="889"/>
      <c r="P2" s="889"/>
      <c r="Q2" s="889"/>
      <c r="R2" s="890"/>
    </row>
    <row r="3" spans="1:19">
      <c r="A3" s="891" t="s">
        <v>83</v>
      </c>
      <c r="B3" s="892"/>
      <c r="C3" s="892"/>
      <c r="D3" s="892"/>
      <c r="E3" s="892"/>
      <c r="F3" s="892"/>
      <c r="G3" s="892"/>
      <c r="H3" s="892"/>
      <c r="I3" s="892"/>
      <c r="J3" s="892"/>
      <c r="K3" s="892"/>
      <c r="L3" s="892"/>
      <c r="M3" s="892"/>
      <c r="N3" s="892"/>
      <c r="O3" s="892"/>
      <c r="P3" s="892"/>
      <c r="Q3" s="892"/>
      <c r="R3" s="893"/>
    </row>
    <row r="5" spans="1:19">
      <c r="A5" s="30"/>
      <c r="B5" s="31"/>
      <c r="C5" s="863" t="s">
        <v>84</v>
      </c>
      <c r="D5" s="863"/>
      <c r="E5" s="863"/>
      <c r="F5" s="863"/>
      <c r="G5" s="863"/>
      <c r="H5" s="863" t="s">
        <v>85</v>
      </c>
      <c r="I5" s="863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84"/>
      <c r="D6" s="866"/>
      <c r="E6" s="866"/>
      <c r="F6" s="861" t="s">
        <v>87</v>
      </c>
      <c r="G6" s="861"/>
      <c r="H6" s="861"/>
      <c r="I6" s="861"/>
      <c r="J6" s="861"/>
      <c r="K6" s="861"/>
      <c r="R6" s="35"/>
    </row>
    <row r="7" spans="1:19">
      <c r="A7" s="34"/>
      <c r="B7" s="861" t="s">
        <v>88</v>
      </c>
      <c r="C7" s="861"/>
      <c r="D7" s="861"/>
      <c r="E7" s="861"/>
      <c r="F7" s="861"/>
      <c r="G7" s="861"/>
      <c r="H7" s="861"/>
      <c r="I7" s="861"/>
      <c r="R7" s="35"/>
    </row>
    <row r="8" spans="1:19">
      <c r="A8" s="34"/>
      <c r="B8" s="861" t="s">
        <v>89</v>
      </c>
      <c r="C8" s="861"/>
      <c r="D8" s="861"/>
      <c r="E8" s="861"/>
      <c r="F8" s="861"/>
      <c r="G8" s="861"/>
      <c r="H8" s="861"/>
      <c r="I8" s="861"/>
      <c r="R8" s="35"/>
    </row>
    <row r="9" spans="1:19">
      <c r="A9" s="36" t="s">
        <v>90</v>
      </c>
      <c r="B9" s="867" t="s">
        <v>91</v>
      </c>
      <c r="C9" s="867"/>
      <c r="D9" s="867"/>
      <c r="E9" s="867"/>
      <c r="F9" s="867"/>
      <c r="G9" s="867"/>
      <c r="H9" s="867"/>
      <c r="I9" s="867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62" t="s">
        <v>92</v>
      </c>
      <c r="B10" s="863"/>
      <c r="C10" s="863"/>
      <c r="D10" s="864"/>
      <c r="E10" s="862" t="s">
        <v>93</v>
      </c>
      <c r="F10" s="864"/>
      <c r="G10" s="862" t="s">
        <v>94</v>
      </c>
      <c r="H10" s="864"/>
      <c r="I10" s="862" t="s">
        <v>95</v>
      </c>
      <c r="J10" s="864"/>
      <c r="K10" s="862" t="s">
        <v>71</v>
      </c>
      <c r="L10" s="864"/>
      <c r="M10" s="862" t="s">
        <v>96</v>
      </c>
      <c r="N10" s="863"/>
      <c r="O10" s="863"/>
      <c r="P10" s="863"/>
      <c r="Q10" s="863"/>
      <c r="R10" s="864"/>
    </row>
    <row r="11" spans="1:19" ht="52.5" customHeight="1">
      <c r="A11" s="856" t="s">
        <v>97</v>
      </c>
      <c r="B11" s="857"/>
      <c r="C11" s="857"/>
      <c r="D11" s="858"/>
      <c r="E11" s="877" t="s">
        <v>98</v>
      </c>
      <c r="F11" s="878"/>
      <c r="G11" s="852">
        <v>1053704</v>
      </c>
      <c r="H11" s="853"/>
      <c r="I11" s="852">
        <v>365251010501182</v>
      </c>
      <c r="J11" s="853"/>
      <c r="K11" s="854">
        <v>26000</v>
      </c>
      <c r="L11" s="855"/>
      <c r="M11" s="856" t="s">
        <v>99</v>
      </c>
      <c r="N11" s="857"/>
      <c r="O11" s="857"/>
      <c r="P11" s="857"/>
      <c r="Q11" s="857"/>
      <c r="R11" s="858"/>
      <c r="S11" s="39" t="s">
        <v>100</v>
      </c>
    </row>
    <row r="12" spans="1:19" ht="54" customHeight="1">
      <c r="A12" s="856" t="s">
        <v>101</v>
      </c>
      <c r="B12" s="857"/>
      <c r="C12" s="857"/>
      <c r="D12" s="858"/>
      <c r="E12" s="877" t="s">
        <v>102</v>
      </c>
      <c r="F12" s="878"/>
      <c r="G12" s="852">
        <v>1050843</v>
      </c>
      <c r="H12" s="853"/>
      <c r="I12" s="852">
        <v>365251010500989</v>
      </c>
      <c r="J12" s="853"/>
      <c r="K12" s="854">
        <v>129310</v>
      </c>
      <c r="L12" s="855"/>
      <c r="M12" s="856" t="s">
        <v>103</v>
      </c>
      <c r="N12" s="857"/>
      <c r="O12" s="857"/>
      <c r="P12" s="857"/>
      <c r="Q12" s="857"/>
      <c r="R12" s="858"/>
    </row>
    <row r="13" spans="1:19" ht="52.5" customHeight="1">
      <c r="A13" s="856" t="s">
        <v>104</v>
      </c>
      <c r="B13" s="857"/>
      <c r="C13" s="857"/>
      <c r="D13" s="858"/>
      <c r="E13" s="877" t="s">
        <v>98</v>
      </c>
      <c r="F13" s="878"/>
      <c r="G13" s="852">
        <v>1053632</v>
      </c>
      <c r="H13" s="853"/>
      <c r="I13" s="852">
        <v>365251010501170</v>
      </c>
      <c r="J13" s="853"/>
      <c r="K13" s="854">
        <v>12925</v>
      </c>
      <c r="L13" s="855"/>
      <c r="M13" s="856" t="s">
        <v>105</v>
      </c>
      <c r="N13" s="857"/>
      <c r="O13" s="857"/>
      <c r="P13" s="857"/>
      <c r="Q13" s="857"/>
      <c r="R13" s="858"/>
    </row>
    <row r="14" spans="1:19">
      <c r="A14" s="879"/>
      <c r="B14" s="880"/>
      <c r="C14" s="880"/>
      <c r="D14" s="881"/>
      <c r="E14" s="882"/>
      <c r="F14" s="883"/>
      <c r="G14" s="859"/>
      <c r="H14" s="860"/>
      <c r="I14" s="859"/>
      <c r="J14" s="860"/>
      <c r="K14" s="870"/>
      <c r="L14" s="871"/>
      <c r="M14" s="872"/>
      <c r="N14" s="873"/>
      <c r="O14" s="873"/>
      <c r="P14" s="873"/>
      <c r="Q14" s="873"/>
      <c r="R14" s="874"/>
    </row>
    <row r="15" spans="1:19">
      <c r="A15" s="862" t="s">
        <v>106</v>
      </c>
      <c r="B15" s="863"/>
      <c r="C15" s="863"/>
      <c r="D15" s="863"/>
      <c r="E15" s="863"/>
      <c r="F15" s="863"/>
      <c r="G15" s="863"/>
      <c r="H15" s="863"/>
      <c r="I15" s="863"/>
      <c r="J15" s="863"/>
      <c r="K15" s="863"/>
      <c r="L15" s="863"/>
      <c r="M15" s="863"/>
      <c r="N15" s="863"/>
      <c r="O15" s="863"/>
      <c r="P15" s="863"/>
      <c r="Q15" s="863"/>
      <c r="R15" s="864"/>
    </row>
    <row r="16" spans="1:19">
      <c r="A16" s="865" t="s">
        <v>107</v>
      </c>
      <c r="B16" s="866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67" t="s">
        <v>109</v>
      </c>
      <c r="D18" s="867"/>
      <c r="E18" s="37"/>
      <c r="F18" s="37"/>
      <c r="G18" s="37"/>
      <c r="H18" s="37"/>
      <c r="I18" s="867" t="s">
        <v>110</v>
      </c>
      <c r="J18" s="867"/>
      <c r="K18" s="867"/>
      <c r="L18" s="37"/>
      <c r="M18" s="37"/>
      <c r="N18" s="37"/>
      <c r="O18" s="37"/>
      <c r="P18" s="868">
        <f ca="1">NOW()</f>
        <v>45933.568580671294</v>
      </c>
      <c r="Q18" s="868"/>
      <c r="R18" s="869"/>
    </row>
    <row r="19" spans="1:18">
      <c r="A19" s="866" t="s">
        <v>111</v>
      </c>
      <c r="B19" s="866"/>
      <c r="E19" s="875" t="s">
        <v>112</v>
      </c>
      <c r="F19" s="876"/>
      <c r="G19" s="876"/>
      <c r="K19" s="28" t="s">
        <v>113</v>
      </c>
    </row>
    <row r="20" spans="1:18">
      <c r="A20" s="861" t="s">
        <v>114</v>
      </c>
      <c r="B20" s="861"/>
      <c r="F20" s="861" t="s">
        <v>114</v>
      </c>
      <c r="G20" s="861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3" sqref="C3:K3"/>
    </sheetView>
  </sheetViews>
  <sheetFormatPr defaultColWidth="8.85546875" defaultRowHeight="15"/>
  <cols>
    <col min="1" max="2" width="5.5703125" style="493" bestFit="1" customWidth="1"/>
    <col min="3" max="3" width="9.5703125" style="493" bestFit="1" customWidth="1"/>
    <col min="4" max="4" width="5.28515625" style="493" bestFit="1" customWidth="1"/>
    <col min="5" max="5" width="3.5703125" style="493" bestFit="1" customWidth="1"/>
    <col min="6" max="6" width="2.7109375" style="493" bestFit="1" customWidth="1"/>
    <col min="7" max="11" width="9.85546875" style="493" customWidth="1"/>
    <col min="12" max="16384" width="8.85546875" style="493"/>
  </cols>
  <sheetData>
    <row r="1" spans="1:11" ht="16.5">
      <c r="A1" s="495" t="s">
        <v>456</v>
      </c>
      <c r="B1" s="495" t="s">
        <v>215</v>
      </c>
      <c r="C1" s="495" t="s">
        <v>457</v>
      </c>
      <c r="D1" s="496">
        <f>封面!H10</f>
        <v>114</v>
      </c>
      <c r="E1" s="495" t="s">
        <v>118</v>
      </c>
      <c r="F1" s="496">
        <f>封面!J10</f>
        <v>9</v>
      </c>
      <c r="G1" s="624" t="s">
        <v>458</v>
      </c>
      <c r="H1" s="625"/>
      <c r="I1" s="625"/>
      <c r="J1" s="625"/>
      <c r="K1" s="625"/>
    </row>
    <row r="2" spans="1:11" ht="16.5">
      <c r="B2" s="492" t="s">
        <v>221</v>
      </c>
      <c r="C2" s="626" t="s">
        <v>482</v>
      </c>
      <c r="D2" s="627"/>
      <c r="E2" s="627"/>
      <c r="F2" s="627"/>
      <c r="G2" s="627"/>
      <c r="H2" s="627"/>
      <c r="I2" s="627"/>
      <c r="J2" s="627"/>
      <c r="K2" s="627"/>
    </row>
    <row r="3" spans="1:11" ht="36.75" customHeight="1">
      <c r="B3" s="517" t="s">
        <v>480</v>
      </c>
      <c r="C3" s="626" t="s">
        <v>481</v>
      </c>
      <c r="D3" s="627"/>
      <c r="E3" s="627"/>
      <c r="F3" s="627"/>
      <c r="G3" s="627"/>
      <c r="H3" s="627"/>
      <c r="I3" s="627"/>
      <c r="J3" s="627"/>
      <c r="K3" s="627"/>
    </row>
    <row r="4" spans="1:11" ht="35.450000000000003" customHeight="1">
      <c r="B4" s="630" t="s">
        <v>459</v>
      </c>
      <c r="C4" s="631"/>
      <c r="D4" s="494"/>
      <c r="E4" s="494"/>
      <c r="F4" s="632" t="s">
        <v>461</v>
      </c>
      <c r="G4" s="633"/>
      <c r="H4" s="633"/>
      <c r="I4" s="628" t="s">
        <v>460</v>
      </c>
      <c r="J4" s="629"/>
    </row>
  </sheetData>
  <mergeCells count="6">
    <mergeCell ref="G1:K1"/>
    <mergeCell ref="C2:K2"/>
    <mergeCell ref="I4:J4"/>
    <mergeCell ref="B4:C4"/>
    <mergeCell ref="F4:H4"/>
    <mergeCell ref="C3:K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34A6E-5254-4CD2-88A9-BFDD7F6B93BA}">
  <sheetPr>
    <outlinePr summaryBelow="0"/>
    <pageSetUpPr autoPageBreaks="0"/>
  </sheetPr>
  <dimension ref="A1:AI113"/>
  <sheetViews>
    <sheetView showGridLines="0" topLeftCell="A64" workbookViewId="0">
      <selection activeCell="AI104" sqref="AI104"/>
    </sheetView>
  </sheetViews>
  <sheetFormatPr defaultRowHeight="12.75" customHeight="1"/>
  <cols>
    <col min="1" max="1" width="2.28515625" style="564" customWidth="1"/>
    <col min="2" max="2" width="1.85546875" style="564" customWidth="1"/>
    <col min="3" max="3" width="18.7109375" style="564" customWidth="1"/>
    <col min="4" max="4" width="2" style="564" customWidth="1"/>
    <col min="5" max="5" width="9.42578125" style="564" customWidth="1"/>
    <col min="6" max="6" width="1.85546875" style="564" customWidth="1"/>
    <col min="7" max="7" width="1.28515625" style="564" customWidth="1"/>
    <col min="8" max="8" width="1.42578125" style="564" customWidth="1"/>
    <col min="9" max="9" width="10.28515625" style="564" customWidth="1"/>
    <col min="10" max="10" width="2" style="564" customWidth="1"/>
    <col min="11" max="11" width="1.42578125" style="564" customWidth="1"/>
    <col min="12" max="12" width="8.5703125" style="564" customWidth="1"/>
    <col min="13" max="14" width="1.28515625" style="564" customWidth="1"/>
    <col min="15" max="15" width="1.42578125" style="564" customWidth="1"/>
    <col min="16" max="16" width="8" style="564" customWidth="1"/>
    <col min="17" max="17" width="1" style="564" customWidth="1"/>
    <col min="18" max="18" width="1.7109375" style="564" customWidth="1"/>
    <col min="19" max="19" width="18.5703125" style="581" bestFit="1" customWidth="1"/>
    <col min="20" max="20" width="6.85546875" style="583" bestFit="1" customWidth="1"/>
    <col min="21" max="21" width="1.5703125" style="564" customWidth="1"/>
    <col min="22" max="22" width="1.85546875" style="564" customWidth="1"/>
    <col min="23" max="23" width="1.140625" style="564" customWidth="1"/>
    <col min="24" max="24" width="8" style="564" customWidth="1"/>
    <col min="25" max="25" width="1.5703125" style="564" customWidth="1"/>
    <col min="26" max="26" width="1.85546875" style="564" customWidth="1"/>
    <col min="27" max="27" width="8" style="564" customWidth="1"/>
    <col min="28" max="28" width="4.140625" style="564" customWidth="1"/>
    <col min="29" max="29" width="2.7109375" style="564" customWidth="1"/>
    <col min="30" max="30" width="12.5703125" style="564" customWidth="1"/>
    <col min="31" max="31" width="1" style="564" customWidth="1"/>
    <col min="32" max="32" width="1.140625" style="564" customWidth="1"/>
    <col min="33" max="33" width="2.85546875" style="564" customWidth="1"/>
    <col min="34" max="34" width="13" style="564" customWidth="1"/>
    <col min="35" max="35" width="20.140625" style="564" bestFit="1" customWidth="1"/>
    <col min="36" max="256" width="6.85546875" style="564" customWidth="1"/>
    <col min="257" max="257" width="2.28515625" style="564" customWidth="1"/>
    <col min="258" max="258" width="1.85546875" style="564" customWidth="1"/>
    <col min="259" max="259" width="18.7109375" style="564" customWidth="1"/>
    <col min="260" max="260" width="2" style="564" customWidth="1"/>
    <col min="261" max="261" width="9.42578125" style="564" customWidth="1"/>
    <col min="262" max="262" width="1.85546875" style="564" customWidth="1"/>
    <col min="263" max="263" width="1.28515625" style="564" customWidth="1"/>
    <col min="264" max="264" width="1.42578125" style="564" customWidth="1"/>
    <col min="265" max="265" width="10.28515625" style="564" customWidth="1"/>
    <col min="266" max="266" width="2" style="564" customWidth="1"/>
    <col min="267" max="267" width="1.42578125" style="564" customWidth="1"/>
    <col min="268" max="268" width="8.5703125" style="564" customWidth="1"/>
    <col min="269" max="270" width="1.28515625" style="564" customWidth="1"/>
    <col min="271" max="271" width="1.42578125" style="564" customWidth="1"/>
    <col min="272" max="272" width="8" style="564" customWidth="1"/>
    <col min="273" max="273" width="1" style="564" customWidth="1"/>
    <col min="274" max="274" width="1.7109375" style="564" customWidth="1"/>
    <col min="275" max="275" width="1.85546875" style="564" customWidth="1"/>
    <col min="276" max="276" width="8" style="564" customWidth="1"/>
    <col min="277" max="277" width="1.5703125" style="564" customWidth="1"/>
    <col min="278" max="278" width="1.85546875" style="564" customWidth="1"/>
    <col min="279" max="279" width="1.140625" style="564" customWidth="1"/>
    <col min="280" max="280" width="8" style="564" customWidth="1"/>
    <col min="281" max="281" width="1.5703125" style="564" customWidth="1"/>
    <col min="282" max="282" width="1.85546875" style="564" customWidth="1"/>
    <col min="283" max="283" width="8" style="564" customWidth="1"/>
    <col min="284" max="284" width="4.140625" style="564" customWidth="1"/>
    <col min="285" max="285" width="2.7109375" style="564" customWidth="1"/>
    <col min="286" max="286" width="12.5703125" style="564" customWidth="1"/>
    <col min="287" max="287" width="1" style="564" customWidth="1"/>
    <col min="288" max="288" width="1.140625" style="564" customWidth="1"/>
    <col min="289" max="289" width="2.85546875" style="564" customWidth="1"/>
    <col min="290" max="290" width="9.85546875" style="564" customWidth="1"/>
    <col min="291" max="512" width="6.85546875" style="564" customWidth="1"/>
    <col min="513" max="513" width="2.28515625" style="564" customWidth="1"/>
    <col min="514" max="514" width="1.85546875" style="564" customWidth="1"/>
    <col min="515" max="515" width="18.7109375" style="564" customWidth="1"/>
    <col min="516" max="516" width="2" style="564" customWidth="1"/>
    <col min="517" max="517" width="9.42578125" style="564" customWidth="1"/>
    <col min="518" max="518" width="1.85546875" style="564" customWidth="1"/>
    <col min="519" max="519" width="1.28515625" style="564" customWidth="1"/>
    <col min="520" max="520" width="1.42578125" style="564" customWidth="1"/>
    <col min="521" max="521" width="10.28515625" style="564" customWidth="1"/>
    <col min="522" max="522" width="2" style="564" customWidth="1"/>
    <col min="523" max="523" width="1.42578125" style="564" customWidth="1"/>
    <col min="524" max="524" width="8.5703125" style="564" customWidth="1"/>
    <col min="525" max="526" width="1.28515625" style="564" customWidth="1"/>
    <col min="527" max="527" width="1.42578125" style="564" customWidth="1"/>
    <col min="528" max="528" width="8" style="564" customWidth="1"/>
    <col min="529" max="529" width="1" style="564" customWidth="1"/>
    <col min="530" max="530" width="1.7109375" style="564" customWidth="1"/>
    <col min="531" max="531" width="1.85546875" style="564" customWidth="1"/>
    <col min="532" max="532" width="8" style="564" customWidth="1"/>
    <col min="533" max="533" width="1.5703125" style="564" customWidth="1"/>
    <col min="534" max="534" width="1.85546875" style="564" customWidth="1"/>
    <col min="535" max="535" width="1.140625" style="564" customWidth="1"/>
    <col min="536" max="536" width="8" style="564" customWidth="1"/>
    <col min="537" max="537" width="1.5703125" style="564" customWidth="1"/>
    <col min="538" max="538" width="1.85546875" style="564" customWidth="1"/>
    <col min="539" max="539" width="8" style="564" customWidth="1"/>
    <col min="540" max="540" width="4.140625" style="564" customWidth="1"/>
    <col min="541" max="541" width="2.7109375" style="564" customWidth="1"/>
    <col min="542" max="542" width="12.5703125" style="564" customWidth="1"/>
    <col min="543" max="543" width="1" style="564" customWidth="1"/>
    <col min="544" max="544" width="1.140625" style="564" customWidth="1"/>
    <col min="545" max="545" width="2.85546875" style="564" customWidth="1"/>
    <col min="546" max="546" width="9.85546875" style="564" customWidth="1"/>
    <col min="547" max="768" width="6.85546875" style="564" customWidth="1"/>
    <col min="769" max="769" width="2.28515625" style="564" customWidth="1"/>
    <col min="770" max="770" width="1.85546875" style="564" customWidth="1"/>
    <col min="771" max="771" width="18.7109375" style="564" customWidth="1"/>
    <col min="772" max="772" width="2" style="564" customWidth="1"/>
    <col min="773" max="773" width="9.42578125" style="564" customWidth="1"/>
    <col min="774" max="774" width="1.85546875" style="564" customWidth="1"/>
    <col min="775" max="775" width="1.28515625" style="564" customWidth="1"/>
    <col min="776" max="776" width="1.42578125" style="564" customWidth="1"/>
    <col min="777" max="777" width="10.28515625" style="564" customWidth="1"/>
    <col min="778" max="778" width="2" style="564" customWidth="1"/>
    <col min="779" max="779" width="1.42578125" style="564" customWidth="1"/>
    <col min="780" max="780" width="8.5703125" style="564" customWidth="1"/>
    <col min="781" max="782" width="1.28515625" style="564" customWidth="1"/>
    <col min="783" max="783" width="1.42578125" style="564" customWidth="1"/>
    <col min="784" max="784" width="8" style="564" customWidth="1"/>
    <col min="785" max="785" width="1" style="564" customWidth="1"/>
    <col min="786" max="786" width="1.7109375" style="564" customWidth="1"/>
    <col min="787" max="787" width="1.85546875" style="564" customWidth="1"/>
    <col min="788" max="788" width="8" style="564" customWidth="1"/>
    <col min="789" max="789" width="1.5703125" style="564" customWidth="1"/>
    <col min="790" max="790" width="1.85546875" style="564" customWidth="1"/>
    <col min="791" max="791" width="1.140625" style="564" customWidth="1"/>
    <col min="792" max="792" width="8" style="564" customWidth="1"/>
    <col min="793" max="793" width="1.5703125" style="564" customWidth="1"/>
    <col min="794" max="794" width="1.85546875" style="564" customWidth="1"/>
    <col min="795" max="795" width="8" style="564" customWidth="1"/>
    <col min="796" max="796" width="4.140625" style="564" customWidth="1"/>
    <col min="797" max="797" width="2.7109375" style="564" customWidth="1"/>
    <col min="798" max="798" width="12.5703125" style="564" customWidth="1"/>
    <col min="799" max="799" width="1" style="564" customWidth="1"/>
    <col min="800" max="800" width="1.140625" style="564" customWidth="1"/>
    <col min="801" max="801" width="2.85546875" style="564" customWidth="1"/>
    <col min="802" max="802" width="9.85546875" style="564" customWidth="1"/>
    <col min="803" max="1024" width="6.85546875" style="564" customWidth="1"/>
    <col min="1025" max="1025" width="2.28515625" style="564" customWidth="1"/>
    <col min="1026" max="1026" width="1.85546875" style="564" customWidth="1"/>
    <col min="1027" max="1027" width="18.7109375" style="564" customWidth="1"/>
    <col min="1028" max="1028" width="2" style="564" customWidth="1"/>
    <col min="1029" max="1029" width="9.42578125" style="564" customWidth="1"/>
    <col min="1030" max="1030" width="1.85546875" style="564" customWidth="1"/>
    <col min="1031" max="1031" width="1.28515625" style="564" customWidth="1"/>
    <col min="1032" max="1032" width="1.42578125" style="564" customWidth="1"/>
    <col min="1033" max="1033" width="10.28515625" style="564" customWidth="1"/>
    <col min="1034" max="1034" width="2" style="564" customWidth="1"/>
    <col min="1035" max="1035" width="1.42578125" style="564" customWidth="1"/>
    <col min="1036" max="1036" width="8.5703125" style="564" customWidth="1"/>
    <col min="1037" max="1038" width="1.28515625" style="564" customWidth="1"/>
    <col min="1039" max="1039" width="1.42578125" style="564" customWidth="1"/>
    <col min="1040" max="1040" width="8" style="564" customWidth="1"/>
    <col min="1041" max="1041" width="1" style="564" customWidth="1"/>
    <col min="1042" max="1042" width="1.7109375" style="564" customWidth="1"/>
    <col min="1043" max="1043" width="1.85546875" style="564" customWidth="1"/>
    <col min="1044" max="1044" width="8" style="564" customWidth="1"/>
    <col min="1045" max="1045" width="1.5703125" style="564" customWidth="1"/>
    <col min="1046" max="1046" width="1.85546875" style="564" customWidth="1"/>
    <col min="1047" max="1047" width="1.140625" style="564" customWidth="1"/>
    <col min="1048" max="1048" width="8" style="564" customWidth="1"/>
    <col min="1049" max="1049" width="1.5703125" style="564" customWidth="1"/>
    <col min="1050" max="1050" width="1.85546875" style="564" customWidth="1"/>
    <col min="1051" max="1051" width="8" style="564" customWidth="1"/>
    <col min="1052" max="1052" width="4.140625" style="564" customWidth="1"/>
    <col min="1053" max="1053" width="2.7109375" style="564" customWidth="1"/>
    <col min="1054" max="1054" width="12.5703125" style="564" customWidth="1"/>
    <col min="1055" max="1055" width="1" style="564" customWidth="1"/>
    <col min="1056" max="1056" width="1.140625" style="564" customWidth="1"/>
    <col min="1057" max="1057" width="2.85546875" style="564" customWidth="1"/>
    <col min="1058" max="1058" width="9.85546875" style="564" customWidth="1"/>
    <col min="1059" max="1280" width="6.85546875" style="564" customWidth="1"/>
    <col min="1281" max="1281" width="2.28515625" style="564" customWidth="1"/>
    <col min="1282" max="1282" width="1.85546875" style="564" customWidth="1"/>
    <col min="1283" max="1283" width="18.7109375" style="564" customWidth="1"/>
    <col min="1284" max="1284" width="2" style="564" customWidth="1"/>
    <col min="1285" max="1285" width="9.42578125" style="564" customWidth="1"/>
    <col min="1286" max="1286" width="1.85546875" style="564" customWidth="1"/>
    <col min="1287" max="1287" width="1.28515625" style="564" customWidth="1"/>
    <col min="1288" max="1288" width="1.42578125" style="564" customWidth="1"/>
    <col min="1289" max="1289" width="10.28515625" style="564" customWidth="1"/>
    <col min="1290" max="1290" width="2" style="564" customWidth="1"/>
    <col min="1291" max="1291" width="1.42578125" style="564" customWidth="1"/>
    <col min="1292" max="1292" width="8.5703125" style="564" customWidth="1"/>
    <col min="1293" max="1294" width="1.28515625" style="564" customWidth="1"/>
    <col min="1295" max="1295" width="1.42578125" style="564" customWidth="1"/>
    <col min="1296" max="1296" width="8" style="564" customWidth="1"/>
    <col min="1297" max="1297" width="1" style="564" customWidth="1"/>
    <col min="1298" max="1298" width="1.7109375" style="564" customWidth="1"/>
    <col min="1299" max="1299" width="1.85546875" style="564" customWidth="1"/>
    <col min="1300" max="1300" width="8" style="564" customWidth="1"/>
    <col min="1301" max="1301" width="1.5703125" style="564" customWidth="1"/>
    <col min="1302" max="1302" width="1.85546875" style="564" customWidth="1"/>
    <col min="1303" max="1303" width="1.140625" style="564" customWidth="1"/>
    <col min="1304" max="1304" width="8" style="564" customWidth="1"/>
    <col min="1305" max="1305" width="1.5703125" style="564" customWidth="1"/>
    <col min="1306" max="1306" width="1.85546875" style="564" customWidth="1"/>
    <col min="1307" max="1307" width="8" style="564" customWidth="1"/>
    <col min="1308" max="1308" width="4.140625" style="564" customWidth="1"/>
    <col min="1309" max="1309" width="2.7109375" style="564" customWidth="1"/>
    <col min="1310" max="1310" width="12.5703125" style="564" customWidth="1"/>
    <col min="1311" max="1311" width="1" style="564" customWidth="1"/>
    <col min="1312" max="1312" width="1.140625" style="564" customWidth="1"/>
    <col min="1313" max="1313" width="2.85546875" style="564" customWidth="1"/>
    <col min="1314" max="1314" width="9.85546875" style="564" customWidth="1"/>
    <col min="1315" max="1536" width="6.85546875" style="564" customWidth="1"/>
    <col min="1537" max="1537" width="2.28515625" style="564" customWidth="1"/>
    <col min="1538" max="1538" width="1.85546875" style="564" customWidth="1"/>
    <col min="1539" max="1539" width="18.7109375" style="564" customWidth="1"/>
    <col min="1540" max="1540" width="2" style="564" customWidth="1"/>
    <col min="1541" max="1541" width="9.42578125" style="564" customWidth="1"/>
    <col min="1542" max="1542" width="1.85546875" style="564" customWidth="1"/>
    <col min="1543" max="1543" width="1.28515625" style="564" customWidth="1"/>
    <col min="1544" max="1544" width="1.42578125" style="564" customWidth="1"/>
    <col min="1545" max="1545" width="10.28515625" style="564" customWidth="1"/>
    <col min="1546" max="1546" width="2" style="564" customWidth="1"/>
    <col min="1547" max="1547" width="1.42578125" style="564" customWidth="1"/>
    <col min="1548" max="1548" width="8.5703125" style="564" customWidth="1"/>
    <col min="1549" max="1550" width="1.28515625" style="564" customWidth="1"/>
    <col min="1551" max="1551" width="1.42578125" style="564" customWidth="1"/>
    <col min="1552" max="1552" width="8" style="564" customWidth="1"/>
    <col min="1553" max="1553" width="1" style="564" customWidth="1"/>
    <col min="1554" max="1554" width="1.7109375" style="564" customWidth="1"/>
    <col min="1555" max="1555" width="1.85546875" style="564" customWidth="1"/>
    <col min="1556" max="1556" width="8" style="564" customWidth="1"/>
    <col min="1557" max="1557" width="1.5703125" style="564" customWidth="1"/>
    <col min="1558" max="1558" width="1.85546875" style="564" customWidth="1"/>
    <col min="1559" max="1559" width="1.140625" style="564" customWidth="1"/>
    <col min="1560" max="1560" width="8" style="564" customWidth="1"/>
    <col min="1561" max="1561" width="1.5703125" style="564" customWidth="1"/>
    <col min="1562" max="1562" width="1.85546875" style="564" customWidth="1"/>
    <col min="1563" max="1563" width="8" style="564" customWidth="1"/>
    <col min="1564" max="1564" width="4.140625" style="564" customWidth="1"/>
    <col min="1565" max="1565" width="2.7109375" style="564" customWidth="1"/>
    <col min="1566" max="1566" width="12.5703125" style="564" customWidth="1"/>
    <col min="1567" max="1567" width="1" style="564" customWidth="1"/>
    <col min="1568" max="1568" width="1.140625" style="564" customWidth="1"/>
    <col min="1569" max="1569" width="2.85546875" style="564" customWidth="1"/>
    <col min="1570" max="1570" width="9.85546875" style="564" customWidth="1"/>
    <col min="1571" max="1792" width="6.85546875" style="564" customWidth="1"/>
    <col min="1793" max="1793" width="2.28515625" style="564" customWidth="1"/>
    <col min="1794" max="1794" width="1.85546875" style="564" customWidth="1"/>
    <col min="1795" max="1795" width="18.7109375" style="564" customWidth="1"/>
    <col min="1796" max="1796" width="2" style="564" customWidth="1"/>
    <col min="1797" max="1797" width="9.42578125" style="564" customWidth="1"/>
    <col min="1798" max="1798" width="1.85546875" style="564" customWidth="1"/>
    <col min="1799" max="1799" width="1.28515625" style="564" customWidth="1"/>
    <col min="1800" max="1800" width="1.42578125" style="564" customWidth="1"/>
    <col min="1801" max="1801" width="10.28515625" style="564" customWidth="1"/>
    <col min="1802" max="1802" width="2" style="564" customWidth="1"/>
    <col min="1803" max="1803" width="1.42578125" style="564" customWidth="1"/>
    <col min="1804" max="1804" width="8.5703125" style="564" customWidth="1"/>
    <col min="1805" max="1806" width="1.28515625" style="564" customWidth="1"/>
    <col min="1807" max="1807" width="1.42578125" style="564" customWidth="1"/>
    <col min="1808" max="1808" width="8" style="564" customWidth="1"/>
    <col min="1809" max="1809" width="1" style="564" customWidth="1"/>
    <col min="1810" max="1810" width="1.7109375" style="564" customWidth="1"/>
    <col min="1811" max="1811" width="1.85546875" style="564" customWidth="1"/>
    <col min="1812" max="1812" width="8" style="564" customWidth="1"/>
    <col min="1813" max="1813" width="1.5703125" style="564" customWidth="1"/>
    <col min="1814" max="1814" width="1.85546875" style="564" customWidth="1"/>
    <col min="1815" max="1815" width="1.140625" style="564" customWidth="1"/>
    <col min="1816" max="1816" width="8" style="564" customWidth="1"/>
    <col min="1817" max="1817" width="1.5703125" style="564" customWidth="1"/>
    <col min="1818" max="1818" width="1.85546875" style="564" customWidth="1"/>
    <col min="1819" max="1819" width="8" style="564" customWidth="1"/>
    <col min="1820" max="1820" width="4.140625" style="564" customWidth="1"/>
    <col min="1821" max="1821" width="2.7109375" style="564" customWidth="1"/>
    <col min="1822" max="1822" width="12.5703125" style="564" customWidth="1"/>
    <col min="1823" max="1823" width="1" style="564" customWidth="1"/>
    <col min="1824" max="1824" width="1.140625" style="564" customWidth="1"/>
    <col min="1825" max="1825" width="2.85546875" style="564" customWidth="1"/>
    <col min="1826" max="1826" width="9.85546875" style="564" customWidth="1"/>
    <col min="1827" max="2048" width="6.85546875" style="564" customWidth="1"/>
    <col min="2049" max="2049" width="2.28515625" style="564" customWidth="1"/>
    <col min="2050" max="2050" width="1.85546875" style="564" customWidth="1"/>
    <col min="2051" max="2051" width="18.7109375" style="564" customWidth="1"/>
    <col min="2052" max="2052" width="2" style="564" customWidth="1"/>
    <col min="2053" max="2053" width="9.42578125" style="564" customWidth="1"/>
    <col min="2054" max="2054" width="1.85546875" style="564" customWidth="1"/>
    <col min="2055" max="2055" width="1.28515625" style="564" customWidth="1"/>
    <col min="2056" max="2056" width="1.42578125" style="564" customWidth="1"/>
    <col min="2057" max="2057" width="10.28515625" style="564" customWidth="1"/>
    <col min="2058" max="2058" width="2" style="564" customWidth="1"/>
    <col min="2059" max="2059" width="1.42578125" style="564" customWidth="1"/>
    <col min="2060" max="2060" width="8.5703125" style="564" customWidth="1"/>
    <col min="2061" max="2062" width="1.28515625" style="564" customWidth="1"/>
    <col min="2063" max="2063" width="1.42578125" style="564" customWidth="1"/>
    <col min="2064" max="2064" width="8" style="564" customWidth="1"/>
    <col min="2065" max="2065" width="1" style="564" customWidth="1"/>
    <col min="2066" max="2066" width="1.7109375" style="564" customWidth="1"/>
    <col min="2067" max="2067" width="1.85546875" style="564" customWidth="1"/>
    <col min="2068" max="2068" width="8" style="564" customWidth="1"/>
    <col min="2069" max="2069" width="1.5703125" style="564" customWidth="1"/>
    <col min="2070" max="2070" width="1.85546875" style="564" customWidth="1"/>
    <col min="2071" max="2071" width="1.140625" style="564" customWidth="1"/>
    <col min="2072" max="2072" width="8" style="564" customWidth="1"/>
    <col min="2073" max="2073" width="1.5703125" style="564" customWidth="1"/>
    <col min="2074" max="2074" width="1.85546875" style="564" customWidth="1"/>
    <col min="2075" max="2075" width="8" style="564" customWidth="1"/>
    <col min="2076" max="2076" width="4.140625" style="564" customWidth="1"/>
    <col min="2077" max="2077" width="2.7109375" style="564" customWidth="1"/>
    <col min="2078" max="2078" width="12.5703125" style="564" customWidth="1"/>
    <col min="2079" max="2079" width="1" style="564" customWidth="1"/>
    <col min="2080" max="2080" width="1.140625" style="564" customWidth="1"/>
    <col min="2081" max="2081" width="2.85546875" style="564" customWidth="1"/>
    <col min="2082" max="2082" width="9.85546875" style="564" customWidth="1"/>
    <col min="2083" max="2304" width="6.85546875" style="564" customWidth="1"/>
    <col min="2305" max="2305" width="2.28515625" style="564" customWidth="1"/>
    <col min="2306" max="2306" width="1.85546875" style="564" customWidth="1"/>
    <col min="2307" max="2307" width="18.7109375" style="564" customWidth="1"/>
    <col min="2308" max="2308" width="2" style="564" customWidth="1"/>
    <col min="2309" max="2309" width="9.42578125" style="564" customWidth="1"/>
    <col min="2310" max="2310" width="1.85546875" style="564" customWidth="1"/>
    <col min="2311" max="2311" width="1.28515625" style="564" customWidth="1"/>
    <col min="2312" max="2312" width="1.42578125" style="564" customWidth="1"/>
    <col min="2313" max="2313" width="10.28515625" style="564" customWidth="1"/>
    <col min="2314" max="2314" width="2" style="564" customWidth="1"/>
    <col min="2315" max="2315" width="1.42578125" style="564" customWidth="1"/>
    <col min="2316" max="2316" width="8.5703125" style="564" customWidth="1"/>
    <col min="2317" max="2318" width="1.28515625" style="564" customWidth="1"/>
    <col min="2319" max="2319" width="1.42578125" style="564" customWidth="1"/>
    <col min="2320" max="2320" width="8" style="564" customWidth="1"/>
    <col min="2321" max="2321" width="1" style="564" customWidth="1"/>
    <col min="2322" max="2322" width="1.7109375" style="564" customWidth="1"/>
    <col min="2323" max="2323" width="1.85546875" style="564" customWidth="1"/>
    <col min="2324" max="2324" width="8" style="564" customWidth="1"/>
    <col min="2325" max="2325" width="1.5703125" style="564" customWidth="1"/>
    <col min="2326" max="2326" width="1.85546875" style="564" customWidth="1"/>
    <col min="2327" max="2327" width="1.140625" style="564" customWidth="1"/>
    <col min="2328" max="2328" width="8" style="564" customWidth="1"/>
    <col min="2329" max="2329" width="1.5703125" style="564" customWidth="1"/>
    <col min="2330" max="2330" width="1.85546875" style="564" customWidth="1"/>
    <col min="2331" max="2331" width="8" style="564" customWidth="1"/>
    <col min="2332" max="2332" width="4.140625" style="564" customWidth="1"/>
    <col min="2333" max="2333" width="2.7109375" style="564" customWidth="1"/>
    <col min="2334" max="2334" width="12.5703125" style="564" customWidth="1"/>
    <col min="2335" max="2335" width="1" style="564" customWidth="1"/>
    <col min="2336" max="2336" width="1.140625" style="564" customWidth="1"/>
    <col min="2337" max="2337" width="2.85546875" style="564" customWidth="1"/>
    <col min="2338" max="2338" width="9.85546875" style="564" customWidth="1"/>
    <col min="2339" max="2560" width="6.85546875" style="564" customWidth="1"/>
    <col min="2561" max="2561" width="2.28515625" style="564" customWidth="1"/>
    <col min="2562" max="2562" width="1.85546875" style="564" customWidth="1"/>
    <col min="2563" max="2563" width="18.7109375" style="564" customWidth="1"/>
    <col min="2564" max="2564" width="2" style="564" customWidth="1"/>
    <col min="2565" max="2565" width="9.42578125" style="564" customWidth="1"/>
    <col min="2566" max="2566" width="1.85546875" style="564" customWidth="1"/>
    <col min="2567" max="2567" width="1.28515625" style="564" customWidth="1"/>
    <col min="2568" max="2568" width="1.42578125" style="564" customWidth="1"/>
    <col min="2569" max="2569" width="10.28515625" style="564" customWidth="1"/>
    <col min="2570" max="2570" width="2" style="564" customWidth="1"/>
    <col min="2571" max="2571" width="1.42578125" style="564" customWidth="1"/>
    <col min="2572" max="2572" width="8.5703125" style="564" customWidth="1"/>
    <col min="2573" max="2574" width="1.28515625" style="564" customWidth="1"/>
    <col min="2575" max="2575" width="1.42578125" style="564" customWidth="1"/>
    <col min="2576" max="2576" width="8" style="564" customWidth="1"/>
    <col min="2577" max="2577" width="1" style="564" customWidth="1"/>
    <col min="2578" max="2578" width="1.7109375" style="564" customWidth="1"/>
    <col min="2579" max="2579" width="1.85546875" style="564" customWidth="1"/>
    <col min="2580" max="2580" width="8" style="564" customWidth="1"/>
    <col min="2581" max="2581" width="1.5703125" style="564" customWidth="1"/>
    <col min="2582" max="2582" width="1.85546875" style="564" customWidth="1"/>
    <col min="2583" max="2583" width="1.140625" style="564" customWidth="1"/>
    <col min="2584" max="2584" width="8" style="564" customWidth="1"/>
    <col min="2585" max="2585" width="1.5703125" style="564" customWidth="1"/>
    <col min="2586" max="2586" width="1.85546875" style="564" customWidth="1"/>
    <col min="2587" max="2587" width="8" style="564" customWidth="1"/>
    <col min="2588" max="2588" width="4.140625" style="564" customWidth="1"/>
    <col min="2589" max="2589" width="2.7109375" style="564" customWidth="1"/>
    <col min="2590" max="2590" width="12.5703125" style="564" customWidth="1"/>
    <col min="2591" max="2591" width="1" style="564" customWidth="1"/>
    <col min="2592" max="2592" width="1.140625" style="564" customWidth="1"/>
    <col min="2593" max="2593" width="2.85546875" style="564" customWidth="1"/>
    <col min="2594" max="2594" width="9.85546875" style="564" customWidth="1"/>
    <col min="2595" max="2816" width="6.85546875" style="564" customWidth="1"/>
    <col min="2817" max="2817" width="2.28515625" style="564" customWidth="1"/>
    <col min="2818" max="2818" width="1.85546875" style="564" customWidth="1"/>
    <col min="2819" max="2819" width="18.7109375" style="564" customWidth="1"/>
    <col min="2820" max="2820" width="2" style="564" customWidth="1"/>
    <col min="2821" max="2821" width="9.42578125" style="564" customWidth="1"/>
    <col min="2822" max="2822" width="1.85546875" style="564" customWidth="1"/>
    <col min="2823" max="2823" width="1.28515625" style="564" customWidth="1"/>
    <col min="2824" max="2824" width="1.42578125" style="564" customWidth="1"/>
    <col min="2825" max="2825" width="10.28515625" style="564" customWidth="1"/>
    <col min="2826" max="2826" width="2" style="564" customWidth="1"/>
    <col min="2827" max="2827" width="1.42578125" style="564" customWidth="1"/>
    <col min="2828" max="2828" width="8.5703125" style="564" customWidth="1"/>
    <col min="2829" max="2830" width="1.28515625" style="564" customWidth="1"/>
    <col min="2831" max="2831" width="1.42578125" style="564" customWidth="1"/>
    <col min="2832" max="2832" width="8" style="564" customWidth="1"/>
    <col min="2833" max="2833" width="1" style="564" customWidth="1"/>
    <col min="2834" max="2834" width="1.7109375" style="564" customWidth="1"/>
    <col min="2835" max="2835" width="1.85546875" style="564" customWidth="1"/>
    <col min="2836" max="2836" width="8" style="564" customWidth="1"/>
    <col min="2837" max="2837" width="1.5703125" style="564" customWidth="1"/>
    <col min="2838" max="2838" width="1.85546875" style="564" customWidth="1"/>
    <col min="2839" max="2839" width="1.140625" style="564" customWidth="1"/>
    <col min="2840" max="2840" width="8" style="564" customWidth="1"/>
    <col min="2841" max="2841" width="1.5703125" style="564" customWidth="1"/>
    <col min="2842" max="2842" width="1.85546875" style="564" customWidth="1"/>
    <col min="2843" max="2843" width="8" style="564" customWidth="1"/>
    <col min="2844" max="2844" width="4.140625" style="564" customWidth="1"/>
    <col min="2845" max="2845" width="2.7109375" style="564" customWidth="1"/>
    <col min="2846" max="2846" width="12.5703125" style="564" customWidth="1"/>
    <col min="2847" max="2847" width="1" style="564" customWidth="1"/>
    <col min="2848" max="2848" width="1.140625" style="564" customWidth="1"/>
    <col min="2849" max="2849" width="2.85546875" style="564" customWidth="1"/>
    <col min="2850" max="2850" width="9.85546875" style="564" customWidth="1"/>
    <col min="2851" max="3072" width="6.85546875" style="564" customWidth="1"/>
    <col min="3073" max="3073" width="2.28515625" style="564" customWidth="1"/>
    <col min="3074" max="3074" width="1.85546875" style="564" customWidth="1"/>
    <col min="3075" max="3075" width="18.7109375" style="564" customWidth="1"/>
    <col min="3076" max="3076" width="2" style="564" customWidth="1"/>
    <col min="3077" max="3077" width="9.42578125" style="564" customWidth="1"/>
    <col min="3078" max="3078" width="1.85546875" style="564" customWidth="1"/>
    <col min="3079" max="3079" width="1.28515625" style="564" customWidth="1"/>
    <col min="3080" max="3080" width="1.42578125" style="564" customWidth="1"/>
    <col min="3081" max="3081" width="10.28515625" style="564" customWidth="1"/>
    <col min="3082" max="3082" width="2" style="564" customWidth="1"/>
    <col min="3083" max="3083" width="1.42578125" style="564" customWidth="1"/>
    <col min="3084" max="3084" width="8.5703125" style="564" customWidth="1"/>
    <col min="3085" max="3086" width="1.28515625" style="564" customWidth="1"/>
    <col min="3087" max="3087" width="1.42578125" style="564" customWidth="1"/>
    <col min="3088" max="3088" width="8" style="564" customWidth="1"/>
    <col min="3089" max="3089" width="1" style="564" customWidth="1"/>
    <col min="3090" max="3090" width="1.7109375" style="564" customWidth="1"/>
    <col min="3091" max="3091" width="1.85546875" style="564" customWidth="1"/>
    <col min="3092" max="3092" width="8" style="564" customWidth="1"/>
    <col min="3093" max="3093" width="1.5703125" style="564" customWidth="1"/>
    <col min="3094" max="3094" width="1.85546875" style="564" customWidth="1"/>
    <col min="3095" max="3095" width="1.140625" style="564" customWidth="1"/>
    <col min="3096" max="3096" width="8" style="564" customWidth="1"/>
    <col min="3097" max="3097" width="1.5703125" style="564" customWidth="1"/>
    <col min="3098" max="3098" width="1.85546875" style="564" customWidth="1"/>
    <col min="3099" max="3099" width="8" style="564" customWidth="1"/>
    <col min="3100" max="3100" width="4.140625" style="564" customWidth="1"/>
    <col min="3101" max="3101" width="2.7109375" style="564" customWidth="1"/>
    <col min="3102" max="3102" width="12.5703125" style="564" customWidth="1"/>
    <col min="3103" max="3103" width="1" style="564" customWidth="1"/>
    <col min="3104" max="3104" width="1.140625" style="564" customWidth="1"/>
    <col min="3105" max="3105" width="2.85546875" style="564" customWidth="1"/>
    <col min="3106" max="3106" width="9.85546875" style="564" customWidth="1"/>
    <col min="3107" max="3328" width="6.85546875" style="564" customWidth="1"/>
    <col min="3329" max="3329" width="2.28515625" style="564" customWidth="1"/>
    <col min="3330" max="3330" width="1.85546875" style="564" customWidth="1"/>
    <col min="3331" max="3331" width="18.7109375" style="564" customWidth="1"/>
    <col min="3332" max="3332" width="2" style="564" customWidth="1"/>
    <col min="3333" max="3333" width="9.42578125" style="564" customWidth="1"/>
    <col min="3334" max="3334" width="1.85546875" style="564" customWidth="1"/>
    <col min="3335" max="3335" width="1.28515625" style="564" customWidth="1"/>
    <col min="3336" max="3336" width="1.42578125" style="564" customWidth="1"/>
    <col min="3337" max="3337" width="10.28515625" style="564" customWidth="1"/>
    <col min="3338" max="3338" width="2" style="564" customWidth="1"/>
    <col min="3339" max="3339" width="1.42578125" style="564" customWidth="1"/>
    <col min="3340" max="3340" width="8.5703125" style="564" customWidth="1"/>
    <col min="3341" max="3342" width="1.28515625" style="564" customWidth="1"/>
    <col min="3343" max="3343" width="1.42578125" style="564" customWidth="1"/>
    <col min="3344" max="3344" width="8" style="564" customWidth="1"/>
    <col min="3345" max="3345" width="1" style="564" customWidth="1"/>
    <col min="3346" max="3346" width="1.7109375" style="564" customWidth="1"/>
    <col min="3347" max="3347" width="1.85546875" style="564" customWidth="1"/>
    <col min="3348" max="3348" width="8" style="564" customWidth="1"/>
    <col min="3349" max="3349" width="1.5703125" style="564" customWidth="1"/>
    <col min="3350" max="3350" width="1.85546875" style="564" customWidth="1"/>
    <col min="3351" max="3351" width="1.140625" style="564" customWidth="1"/>
    <col min="3352" max="3352" width="8" style="564" customWidth="1"/>
    <col min="3353" max="3353" width="1.5703125" style="564" customWidth="1"/>
    <col min="3354" max="3354" width="1.85546875" style="564" customWidth="1"/>
    <col min="3355" max="3355" width="8" style="564" customWidth="1"/>
    <col min="3356" max="3356" width="4.140625" style="564" customWidth="1"/>
    <col min="3357" max="3357" width="2.7109375" style="564" customWidth="1"/>
    <col min="3358" max="3358" width="12.5703125" style="564" customWidth="1"/>
    <col min="3359" max="3359" width="1" style="564" customWidth="1"/>
    <col min="3360" max="3360" width="1.140625" style="564" customWidth="1"/>
    <col min="3361" max="3361" width="2.85546875" style="564" customWidth="1"/>
    <col min="3362" max="3362" width="9.85546875" style="564" customWidth="1"/>
    <col min="3363" max="3584" width="6.85546875" style="564" customWidth="1"/>
    <col min="3585" max="3585" width="2.28515625" style="564" customWidth="1"/>
    <col min="3586" max="3586" width="1.85546875" style="564" customWidth="1"/>
    <col min="3587" max="3587" width="18.7109375" style="564" customWidth="1"/>
    <col min="3588" max="3588" width="2" style="564" customWidth="1"/>
    <col min="3589" max="3589" width="9.42578125" style="564" customWidth="1"/>
    <col min="3590" max="3590" width="1.85546875" style="564" customWidth="1"/>
    <col min="3591" max="3591" width="1.28515625" style="564" customWidth="1"/>
    <col min="3592" max="3592" width="1.42578125" style="564" customWidth="1"/>
    <col min="3593" max="3593" width="10.28515625" style="564" customWidth="1"/>
    <col min="3594" max="3594" width="2" style="564" customWidth="1"/>
    <col min="3595" max="3595" width="1.42578125" style="564" customWidth="1"/>
    <col min="3596" max="3596" width="8.5703125" style="564" customWidth="1"/>
    <col min="3597" max="3598" width="1.28515625" style="564" customWidth="1"/>
    <col min="3599" max="3599" width="1.42578125" style="564" customWidth="1"/>
    <col min="3600" max="3600" width="8" style="564" customWidth="1"/>
    <col min="3601" max="3601" width="1" style="564" customWidth="1"/>
    <col min="3602" max="3602" width="1.7109375" style="564" customWidth="1"/>
    <col min="3603" max="3603" width="1.85546875" style="564" customWidth="1"/>
    <col min="3604" max="3604" width="8" style="564" customWidth="1"/>
    <col min="3605" max="3605" width="1.5703125" style="564" customWidth="1"/>
    <col min="3606" max="3606" width="1.85546875" style="564" customWidth="1"/>
    <col min="3607" max="3607" width="1.140625" style="564" customWidth="1"/>
    <col min="3608" max="3608" width="8" style="564" customWidth="1"/>
    <col min="3609" max="3609" width="1.5703125" style="564" customWidth="1"/>
    <col min="3610" max="3610" width="1.85546875" style="564" customWidth="1"/>
    <col min="3611" max="3611" width="8" style="564" customWidth="1"/>
    <col min="3612" max="3612" width="4.140625" style="564" customWidth="1"/>
    <col min="3613" max="3613" width="2.7109375" style="564" customWidth="1"/>
    <col min="3614" max="3614" width="12.5703125" style="564" customWidth="1"/>
    <col min="3615" max="3615" width="1" style="564" customWidth="1"/>
    <col min="3616" max="3616" width="1.140625" style="564" customWidth="1"/>
    <col min="3617" max="3617" width="2.85546875" style="564" customWidth="1"/>
    <col min="3618" max="3618" width="9.85546875" style="564" customWidth="1"/>
    <col min="3619" max="3840" width="6.85546875" style="564" customWidth="1"/>
    <col min="3841" max="3841" width="2.28515625" style="564" customWidth="1"/>
    <col min="3842" max="3842" width="1.85546875" style="564" customWidth="1"/>
    <col min="3843" max="3843" width="18.7109375" style="564" customWidth="1"/>
    <col min="3844" max="3844" width="2" style="564" customWidth="1"/>
    <col min="3845" max="3845" width="9.42578125" style="564" customWidth="1"/>
    <col min="3846" max="3846" width="1.85546875" style="564" customWidth="1"/>
    <col min="3847" max="3847" width="1.28515625" style="564" customWidth="1"/>
    <col min="3848" max="3848" width="1.42578125" style="564" customWidth="1"/>
    <col min="3849" max="3849" width="10.28515625" style="564" customWidth="1"/>
    <col min="3850" max="3850" width="2" style="564" customWidth="1"/>
    <col min="3851" max="3851" width="1.42578125" style="564" customWidth="1"/>
    <col min="3852" max="3852" width="8.5703125" style="564" customWidth="1"/>
    <col min="3853" max="3854" width="1.28515625" style="564" customWidth="1"/>
    <col min="3855" max="3855" width="1.42578125" style="564" customWidth="1"/>
    <col min="3856" max="3856" width="8" style="564" customWidth="1"/>
    <col min="3857" max="3857" width="1" style="564" customWidth="1"/>
    <col min="3858" max="3858" width="1.7109375" style="564" customWidth="1"/>
    <col min="3859" max="3859" width="1.85546875" style="564" customWidth="1"/>
    <col min="3860" max="3860" width="8" style="564" customWidth="1"/>
    <col min="3861" max="3861" width="1.5703125" style="564" customWidth="1"/>
    <col min="3862" max="3862" width="1.85546875" style="564" customWidth="1"/>
    <col min="3863" max="3863" width="1.140625" style="564" customWidth="1"/>
    <col min="3864" max="3864" width="8" style="564" customWidth="1"/>
    <col min="3865" max="3865" width="1.5703125" style="564" customWidth="1"/>
    <col min="3866" max="3866" width="1.85546875" style="564" customWidth="1"/>
    <col min="3867" max="3867" width="8" style="564" customWidth="1"/>
    <col min="3868" max="3868" width="4.140625" style="564" customWidth="1"/>
    <col min="3869" max="3869" width="2.7109375" style="564" customWidth="1"/>
    <col min="3870" max="3870" width="12.5703125" style="564" customWidth="1"/>
    <col min="3871" max="3871" width="1" style="564" customWidth="1"/>
    <col min="3872" max="3872" width="1.140625" style="564" customWidth="1"/>
    <col min="3873" max="3873" width="2.85546875" style="564" customWidth="1"/>
    <col min="3874" max="3874" width="9.85546875" style="564" customWidth="1"/>
    <col min="3875" max="4096" width="6.85546875" style="564" customWidth="1"/>
    <col min="4097" max="4097" width="2.28515625" style="564" customWidth="1"/>
    <col min="4098" max="4098" width="1.85546875" style="564" customWidth="1"/>
    <col min="4099" max="4099" width="18.7109375" style="564" customWidth="1"/>
    <col min="4100" max="4100" width="2" style="564" customWidth="1"/>
    <col min="4101" max="4101" width="9.42578125" style="564" customWidth="1"/>
    <col min="4102" max="4102" width="1.85546875" style="564" customWidth="1"/>
    <col min="4103" max="4103" width="1.28515625" style="564" customWidth="1"/>
    <col min="4104" max="4104" width="1.42578125" style="564" customWidth="1"/>
    <col min="4105" max="4105" width="10.28515625" style="564" customWidth="1"/>
    <col min="4106" max="4106" width="2" style="564" customWidth="1"/>
    <col min="4107" max="4107" width="1.42578125" style="564" customWidth="1"/>
    <col min="4108" max="4108" width="8.5703125" style="564" customWidth="1"/>
    <col min="4109" max="4110" width="1.28515625" style="564" customWidth="1"/>
    <col min="4111" max="4111" width="1.42578125" style="564" customWidth="1"/>
    <col min="4112" max="4112" width="8" style="564" customWidth="1"/>
    <col min="4113" max="4113" width="1" style="564" customWidth="1"/>
    <col min="4114" max="4114" width="1.7109375" style="564" customWidth="1"/>
    <col min="4115" max="4115" width="1.85546875" style="564" customWidth="1"/>
    <col min="4116" max="4116" width="8" style="564" customWidth="1"/>
    <col min="4117" max="4117" width="1.5703125" style="564" customWidth="1"/>
    <col min="4118" max="4118" width="1.85546875" style="564" customWidth="1"/>
    <col min="4119" max="4119" width="1.140625" style="564" customWidth="1"/>
    <col min="4120" max="4120" width="8" style="564" customWidth="1"/>
    <col min="4121" max="4121" width="1.5703125" style="564" customWidth="1"/>
    <col min="4122" max="4122" width="1.85546875" style="564" customWidth="1"/>
    <col min="4123" max="4123" width="8" style="564" customWidth="1"/>
    <col min="4124" max="4124" width="4.140625" style="564" customWidth="1"/>
    <col min="4125" max="4125" width="2.7109375" style="564" customWidth="1"/>
    <col min="4126" max="4126" width="12.5703125" style="564" customWidth="1"/>
    <col min="4127" max="4127" width="1" style="564" customWidth="1"/>
    <col min="4128" max="4128" width="1.140625" style="564" customWidth="1"/>
    <col min="4129" max="4129" width="2.85546875" style="564" customWidth="1"/>
    <col min="4130" max="4130" width="9.85546875" style="564" customWidth="1"/>
    <col min="4131" max="4352" width="6.85546875" style="564" customWidth="1"/>
    <col min="4353" max="4353" width="2.28515625" style="564" customWidth="1"/>
    <col min="4354" max="4354" width="1.85546875" style="564" customWidth="1"/>
    <col min="4355" max="4355" width="18.7109375" style="564" customWidth="1"/>
    <col min="4356" max="4356" width="2" style="564" customWidth="1"/>
    <col min="4357" max="4357" width="9.42578125" style="564" customWidth="1"/>
    <col min="4358" max="4358" width="1.85546875" style="564" customWidth="1"/>
    <col min="4359" max="4359" width="1.28515625" style="564" customWidth="1"/>
    <col min="4360" max="4360" width="1.42578125" style="564" customWidth="1"/>
    <col min="4361" max="4361" width="10.28515625" style="564" customWidth="1"/>
    <col min="4362" max="4362" width="2" style="564" customWidth="1"/>
    <col min="4363" max="4363" width="1.42578125" style="564" customWidth="1"/>
    <col min="4364" max="4364" width="8.5703125" style="564" customWidth="1"/>
    <col min="4365" max="4366" width="1.28515625" style="564" customWidth="1"/>
    <col min="4367" max="4367" width="1.42578125" style="564" customWidth="1"/>
    <col min="4368" max="4368" width="8" style="564" customWidth="1"/>
    <col min="4369" max="4369" width="1" style="564" customWidth="1"/>
    <col min="4370" max="4370" width="1.7109375" style="564" customWidth="1"/>
    <col min="4371" max="4371" width="1.85546875" style="564" customWidth="1"/>
    <col min="4372" max="4372" width="8" style="564" customWidth="1"/>
    <col min="4373" max="4373" width="1.5703125" style="564" customWidth="1"/>
    <col min="4374" max="4374" width="1.85546875" style="564" customWidth="1"/>
    <col min="4375" max="4375" width="1.140625" style="564" customWidth="1"/>
    <col min="4376" max="4376" width="8" style="564" customWidth="1"/>
    <col min="4377" max="4377" width="1.5703125" style="564" customWidth="1"/>
    <col min="4378" max="4378" width="1.85546875" style="564" customWidth="1"/>
    <col min="4379" max="4379" width="8" style="564" customWidth="1"/>
    <col min="4380" max="4380" width="4.140625" style="564" customWidth="1"/>
    <col min="4381" max="4381" width="2.7109375" style="564" customWidth="1"/>
    <col min="4382" max="4382" width="12.5703125" style="564" customWidth="1"/>
    <col min="4383" max="4383" width="1" style="564" customWidth="1"/>
    <col min="4384" max="4384" width="1.140625" style="564" customWidth="1"/>
    <col min="4385" max="4385" width="2.85546875" style="564" customWidth="1"/>
    <col min="4386" max="4386" width="9.85546875" style="564" customWidth="1"/>
    <col min="4387" max="4608" width="6.85546875" style="564" customWidth="1"/>
    <col min="4609" max="4609" width="2.28515625" style="564" customWidth="1"/>
    <col min="4610" max="4610" width="1.85546875" style="564" customWidth="1"/>
    <col min="4611" max="4611" width="18.7109375" style="564" customWidth="1"/>
    <col min="4612" max="4612" width="2" style="564" customWidth="1"/>
    <col min="4613" max="4613" width="9.42578125" style="564" customWidth="1"/>
    <col min="4614" max="4614" width="1.85546875" style="564" customWidth="1"/>
    <col min="4615" max="4615" width="1.28515625" style="564" customWidth="1"/>
    <col min="4616" max="4616" width="1.42578125" style="564" customWidth="1"/>
    <col min="4617" max="4617" width="10.28515625" style="564" customWidth="1"/>
    <col min="4618" max="4618" width="2" style="564" customWidth="1"/>
    <col min="4619" max="4619" width="1.42578125" style="564" customWidth="1"/>
    <col min="4620" max="4620" width="8.5703125" style="564" customWidth="1"/>
    <col min="4621" max="4622" width="1.28515625" style="564" customWidth="1"/>
    <col min="4623" max="4623" width="1.42578125" style="564" customWidth="1"/>
    <col min="4624" max="4624" width="8" style="564" customWidth="1"/>
    <col min="4625" max="4625" width="1" style="564" customWidth="1"/>
    <col min="4626" max="4626" width="1.7109375" style="564" customWidth="1"/>
    <col min="4627" max="4627" width="1.85546875" style="564" customWidth="1"/>
    <col min="4628" max="4628" width="8" style="564" customWidth="1"/>
    <col min="4629" max="4629" width="1.5703125" style="564" customWidth="1"/>
    <col min="4630" max="4630" width="1.85546875" style="564" customWidth="1"/>
    <col min="4631" max="4631" width="1.140625" style="564" customWidth="1"/>
    <col min="4632" max="4632" width="8" style="564" customWidth="1"/>
    <col min="4633" max="4633" width="1.5703125" style="564" customWidth="1"/>
    <col min="4634" max="4634" width="1.85546875" style="564" customWidth="1"/>
    <col min="4635" max="4635" width="8" style="564" customWidth="1"/>
    <col min="4636" max="4636" width="4.140625" style="564" customWidth="1"/>
    <col min="4637" max="4637" width="2.7109375" style="564" customWidth="1"/>
    <col min="4638" max="4638" width="12.5703125" style="564" customWidth="1"/>
    <col min="4639" max="4639" width="1" style="564" customWidth="1"/>
    <col min="4640" max="4640" width="1.140625" style="564" customWidth="1"/>
    <col min="4641" max="4641" width="2.85546875" style="564" customWidth="1"/>
    <col min="4642" max="4642" width="9.85546875" style="564" customWidth="1"/>
    <col min="4643" max="4864" width="6.85546875" style="564" customWidth="1"/>
    <col min="4865" max="4865" width="2.28515625" style="564" customWidth="1"/>
    <col min="4866" max="4866" width="1.85546875" style="564" customWidth="1"/>
    <col min="4867" max="4867" width="18.7109375" style="564" customWidth="1"/>
    <col min="4868" max="4868" width="2" style="564" customWidth="1"/>
    <col min="4869" max="4869" width="9.42578125" style="564" customWidth="1"/>
    <col min="4870" max="4870" width="1.85546875" style="564" customWidth="1"/>
    <col min="4871" max="4871" width="1.28515625" style="564" customWidth="1"/>
    <col min="4872" max="4872" width="1.42578125" style="564" customWidth="1"/>
    <col min="4873" max="4873" width="10.28515625" style="564" customWidth="1"/>
    <col min="4874" max="4874" width="2" style="564" customWidth="1"/>
    <col min="4875" max="4875" width="1.42578125" style="564" customWidth="1"/>
    <col min="4876" max="4876" width="8.5703125" style="564" customWidth="1"/>
    <col min="4877" max="4878" width="1.28515625" style="564" customWidth="1"/>
    <col min="4879" max="4879" width="1.42578125" style="564" customWidth="1"/>
    <col min="4880" max="4880" width="8" style="564" customWidth="1"/>
    <col min="4881" max="4881" width="1" style="564" customWidth="1"/>
    <col min="4882" max="4882" width="1.7109375" style="564" customWidth="1"/>
    <col min="4883" max="4883" width="1.85546875" style="564" customWidth="1"/>
    <col min="4884" max="4884" width="8" style="564" customWidth="1"/>
    <col min="4885" max="4885" width="1.5703125" style="564" customWidth="1"/>
    <col min="4886" max="4886" width="1.85546875" style="564" customWidth="1"/>
    <col min="4887" max="4887" width="1.140625" style="564" customWidth="1"/>
    <col min="4888" max="4888" width="8" style="564" customWidth="1"/>
    <col min="4889" max="4889" width="1.5703125" style="564" customWidth="1"/>
    <col min="4890" max="4890" width="1.85546875" style="564" customWidth="1"/>
    <col min="4891" max="4891" width="8" style="564" customWidth="1"/>
    <col min="4892" max="4892" width="4.140625" style="564" customWidth="1"/>
    <col min="4893" max="4893" width="2.7109375" style="564" customWidth="1"/>
    <col min="4894" max="4894" width="12.5703125" style="564" customWidth="1"/>
    <col min="4895" max="4895" width="1" style="564" customWidth="1"/>
    <col min="4896" max="4896" width="1.140625" style="564" customWidth="1"/>
    <col min="4897" max="4897" width="2.85546875" style="564" customWidth="1"/>
    <col min="4898" max="4898" width="9.85546875" style="564" customWidth="1"/>
    <col min="4899" max="5120" width="6.85546875" style="564" customWidth="1"/>
    <col min="5121" max="5121" width="2.28515625" style="564" customWidth="1"/>
    <col min="5122" max="5122" width="1.85546875" style="564" customWidth="1"/>
    <col min="5123" max="5123" width="18.7109375" style="564" customWidth="1"/>
    <col min="5124" max="5124" width="2" style="564" customWidth="1"/>
    <col min="5125" max="5125" width="9.42578125" style="564" customWidth="1"/>
    <col min="5126" max="5126" width="1.85546875" style="564" customWidth="1"/>
    <col min="5127" max="5127" width="1.28515625" style="564" customWidth="1"/>
    <col min="5128" max="5128" width="1.42578125" style="564" customWidth="1"/>
    <col min="5129" max="5129" width="10.28515625" style="564" customWidth="1"/>
    <col min="5130" max="5130" width="2" style="564" customWidth="1"/>
    <col min="5131" max="5131" width="1.42578125" style="564" customWidth="1"/>
    <col min="5132" max="5132" width="8.5703125" style="564" customWidth="1"/>
    <col min="5133" max="5134" width="1.28515625" style="564" customWidth="1"/>
    <col min="5135" max="5135" width="1.42578125" style="564" customWidth="1"/>
    <col min="5136" max="5136" width="8" style="564" customWidth="1"/>
    <col min="5137" max="5137" width="1" style="564" customWidth="1"/>
    <col min="5138" max="5138" width="1.7109375" style="564" customWidth="1"/>
    <col min="5139" max="5139" width="1.85546875" style="564" customWidth="1"/>
    <col min="5140" max="5140" width="8" style="564" customWidth="1"/>
    <col min="5141" max="5141" width="1.5703125" style="564" customWidth="1"/>
    <col min="5142" max="5142" width="1.85546875" style="564" customWidth="1"/>
    <col min="5143" max="5143" width="1.140625" style="564" customWidth="1"/>
    <col min="5144" max="5144" width="8" style="564" customWidth="1"/>
    <col min="5145" max="5145" width="1.5703125" style="564" customWidth="1"/>
    <col min="5146" max="5146" width="1.85546875" style="564" customWidth="1"/>
    <col min="5147" max="5147" width="8" style="564" customWidth="1"/>
    <col min="5148" max="5148" width="4.140625" style="564" customWidth="1"/>
    <col min="5149" max="5149" width="2.7109375" style="564" customWidth="1"/>
    <col min="5150" max="5150" width="12.5703125" style="564" customWidth="1"/>
    <col min="5151" max="5151" width="1" style="564" customWidth="1"/>
    <col min="5152" max="5152" width="1.140625" style="564" customWidth="1"/>
    <col min="5153" max="5153" width="2.85546875" style="564" customWidth="1"/>
    <col min="5154" max="5154" width="9.85546875" style="564" customWidth="1"/>
    <col min="5155" max="5376" width="6.85546875" style="564" customWidth="1"/>
    <col min="5377" max="5377" width="2.28515625" style="564" customWidth="1"/>
    <col min="5378" max="5378" width="1.85546875" style="564" customWidth="1"/>
    <col min="5379" max="5379" width="18.7109375" style="564" customWidth="1"/>
    <col min="5380" max="5380" width="2" style="564" customWidth="1"/>
    <col min="5381" max="5381" width="9.42578125" style="564" customWidth="1"/>
    <col min="5382" max="5382" width="1.85546875" style="564" customWidth="1"/>
    <col min="5383" max="5383" width="1.28515625" style="564" customWidth="1"/>
    <col min="5384" max="5384" width="1.42578125" style="564" customWidth="1"/>
    <col min="5385" max="5385" width="10.28515625" style="564" customWidth="1"/>
    <col min="5386" max="5386" width="2" style="564" customWidth="1"/>
    <col min="5387" max="5387" width="1.42578125" style="564" customWidth="1"/>
    <col min="5388" max="5388" width="8.5703125" style="564" customWidth="1"/>
    <col min="5389" max="5390" width="1.28515625" style="564" customWidth="1"/>
    <col min="5391" max="5391" width="1.42578125" style="564" customWidth="1"/>
    <col min="5392" max="5392" width="8" style="564" customWidth="1"/>
    <col min="5393" max="5393" width="1" style="564" customWidth="1"/>
    <col min="5394" max="5394" width="1.7109375" style="564" customWidth="1"/>
    <col min="5395" max="5395" width="1.85546875" style="564" customWidth="1"/>
    <col min="5396" max="5396" width="8" style="564" customWidth="1"/>
    <col min="5397" max="5397" width="1.5703125" style="564" customWidth="1"/>
    <col min="5398" max="5398" width="1.85546875" style="564" customWidth="1"/>
    <col min="5399" max="5399" width="1.140625" style="564" customWidth="1"/>
    <col min="5400" max="5400" width="8" style="564" customWidth="1"/>
    <col min="5401" max="5401" width="1.5703125" style="564" customWidth="1"/>
    <col min="5402" max="5402" width="1.85546875" style="564" customWidth="1"/>
    <col min="5403" max="5403" width="8" style="564" customWidth="1"/>
    <col min="5404" max="5404" width="4.140625" style="564" customWidth="1"/>
    <col min="5405" max="5405" width="2.7109375" style="564" customWidth="1"/>
    <col min="5406" max="5406" width="12.5703125" style="564" customWidth="1"/>
    <col min="5407" max="5407" width="1" style="564" customWidth="1"/>
    <col min="5408" max="5408" width="1.140625" style="564" customWidth="1"/>
    <col min="5409" max="5409" width="2.85546875" style="564" customWidth="1"/>
    <col min="5410" max="5410" width="9.85546875" style="564" customWidth="1"/>
    <col min="5411" max="5632" width="6.85546875" style="564" customWidth="1"/>
    <col min="5633" max="5633" width="2.28515625" style="564" customWidth="1"/>
    <col min="5634" max="5634" width="1.85546875" style="564" customWidth="1"/>
    <col min="5635" max="5635" width="18.7109375" style="564" customWidth="1"/>
    <col min="5636" max="5636" width="2" style="564" customWidth="1"/>
    <col min="5637" max="5637" width="9.42578125" style="564" customWidth="1"/>
    <col min="5638" max="5638" width="1.85546875" style="564" customWidth="1"/>
    <col min="5639" max="5639" width="1.28515625" style="564" customWidth="1"/>
    <col min="5640" max="5640" width="1.42578125" style="564" customWidth="1"/>
    <col min="5641" max="5641" width="10.28515625" style="564" customWidth="1"/>
    <col min="5642" max="5642" width="2" style="564" customWidth="1"/>
    <col min="5643" max="5643" width="1.42578125" style="564" customWidth="1"/>
    <col min="5644" max="5644" width="8.5703125" style="564" customWidth="1"/>
    <col min="5645" max="5646" width="1.28515625" style="564" customWidth="1"/>
    <col min="5647" max="5647" width="1.42578125" style="564" customWidth="1"/>
    <col min="5648" max="5648" width="8" style="564" customWidth="1"/>
    <col min="5649" max="5649" width="1" style="564" customWidth="1"/>
    <col min="5650" max="5650" width="1.7109375" style="564" customWidth="1"/>
    <col min="5651" max="5651" width="1.85546875" style="564" customWidth="1"/>
    <col min="5652" max="5652" width="8" style="564" customWidth="1"/>
    <col min="5653" max="5653" width="1.5703125" style="564" customWidth="1"/>
    <col min="5654" max="5654" width="1.85546875" style="564" customWidth="1"/>
    <col min="5655" max="5655" width="1.140625" style="564" customWidth="1"/>
    <col min="5656" max="5656" width="8" style="564" customWidth="1"/>
    <col min="5657" max="5657" width="1.5703125" style="564" customWidth="1"/>
    <col min="5658" max="5658" width="1.85546875" style="564" customWidth="1"/>
    <col min="5659" max="5659" width="8" style="564" customWidth="1"/>
    <col min="5660" max="5660" width="4.140625" style="564" customWidth="1"/>
    <col min="5661" max="5661" width="2.7109375" style="564" customWidth="1"/>
    <col min="5662" max="5662" width="12.5703125" style="564" customWidth="1"/>
    <col min="5663" max="5663" width="1" style="564" customWidth="1"/>
    <col min="5664" max="5664" width="1.140625" style="564" customWidth="1"/>
    <col min="5665" max="5665" width="2.85546875" style="564" customWidth="1"/>
    <col min="5666" max="5666" width="9.85546875" style="564" customWidth="1"/>
    <col min="5667" max="5888" width="6.85546875" style="564" customWidth="1"/>
    <col min="5889" max="5889" width="2.28515625" style="564" customWidth="1"/>
    <col min="5890" max="5890" width="1.85546875" style="564" customWidth="1"/>
    <col min="5891" max="5891" width="18.7109375" style="564" customWidth="1"/>
    <col min="5892" max="5892" width="2" style="564" customWidth="1"/>
    <col min="5893" max="5893" width="9.42578125" style="564" customWidth="1"/>
    <col min="5894" max="5894" width="1.85546875" style="564" customWidth="1"/>
    <col min="5895" max="5895" width="1.28515625" style="564" customWidth="1"/>
    <col min="5896" max="5896" width="1.42578125" style="564" customWidth="1"/>
    <col min="5897" max="5897" width="10.28515625" style="564" customWidth="1"/>
    <col min="5898" max="5898" width="2" style="564" customWidth="1"/>
    <col min="5899" max="5899" width="1.42578125" style="564" customWidth="1"/>
    <col min="5900" max="5900" width="8.5703125" style="564" customWidth="1"/>
    <col min="5901" max="5902" width="1.28515625" style="564" customWidth="1"/>
    <col min="5903" max="5903" width="1.42578125" style="564" customWidth="1"/>
    <col min="5904" max="5904" width="8" style="564" customWidth="1"/>
    <col min="5905" max="5905" width="1" style="564" customWidth="1"/>
    <col min="5906" max="5906" width="1.7109375" style="564" customWidth="1"/>
    <col min="5907" max="5907" width="1.85546875" style="564" customWidth="1"/>
    <col min="5908" max="5908" width="8" style="564" customWidth="1"/>
    <col min="5909" max="5909" width="1.5703125" style="564" customWidth="1"/>
    <col min="5910" max="5910" width="1.85546875" style="564" customWidth="1"/>
    <col min="5911" max="5911" width="1.140625" style="564" customWidth="1"/>
    <col min="5912" max="5912" width="8" style="564" customWidth="1"/>
    <col min="5913" max="5913" width="1.5703125" style="564" customWidth="1"/>
    <col min="5914" max="5914" width="1.85546875" style="564" customWidth="1"/>
    <col min="5915" max="5915" width="8" style="564" customWidth="1"/>
    <col min="5916" max="5916" width="4.140625" style="564" customWidth="1"/>
    <col min="5917" max="5917" width="2.7109375" style="564" customWidth="1"/>
    <col min="5918" max="5918" width="12.5703125" style="564" customWidth="1"/>
    <col min="5919" max="5919" width="1" style="564" customWidth="1"/>
    <col min="5920" max="5920" width="1.140625" style="564" customWidth="1"/>
    <col min="5921" max="5921" width="2.85546875" style="564" customWidth="1"/>
    <col min="5922" max="5922" width="9.85546875" style="564" customWidth="1"/>
    <col min="5923" max="6144" width="6.85546875" style="564" customWidth="1"/>
    <col min="6145" max="6145" width="2.28515625" style="564" customWidth="1"/>
    <col min="6146" max="6146" width="1.85546875" style="564" customWidth="1"/>
    <col min="6147" max="6147" width="18.7109375" style="564" customWidth="1"/>
    <col min="6148" max="6148" width="2" style="564" customWidth="1"/>
    <col min="6149" max="6149" width="9.42578125" style="564" customWidth="1"/>
    <col min="6150" max="6150" width="1.85546875" style="564" customWidth="1"/>
    <col min="6151" max="6151" width="1.28515625" style="564" customWidth="1"/>
    <col min="6152" max="6152" width="1.42578125" style="564" customWidth="1"/>
    <col min="6153" max="6153" width="10.28515625" style="564" customWidth="1"/>
    <col min="6154" max="6154" width="2" style="564" customWidth="1"/>
    <col min="6155" max="6155" width="1.42578125" style="564" customWidth="1"/>
    <col min="6156" max="6156" width="8.5703125" style="564" customWidth="1"/>
    <col min="6157" max="6158" width="1.28515625" style="564" customWidth="1"/>
    <col min="6159" max="6159" width="1.42578125" style="564" customWidth="1"/>
    <col min="6160" max="6160" width="8" style="564" customWidth="1"/>
    <col min="6161" max="6161" width="1" style="564" customWidth="1"/>
    <col min="6162" max="6162" width="1.7109375" style="564" customWidth="1"/>
    <col min="6163" max="6163" width="1.85546875" style="564" customWidth="1"/>
    <col min="6164" max="6164" width="8" style="564" customWidth="1"/>
    <col min="6165" max="6165" width="1.5703125" style="564" customWidth="1"/>
    <col min="6166" max="6166" width="1.85546875" style="564" customWidth="1"/>
    <col min="6167" max="6167" width="1.140625" style="564" customWidth="1"/>
    <col min="6168" max="6168" width="8" style="564" customWidth="1"/>
    <col min="6169" max="6169" width="1.5703125" style="564" customWidth="1"/>
    <col min="6170" max="6170" width="1.85546875" style="564" customWidth="1"/>
    <col min="6171" max="6171" width="8" style="564" customWidth="1"/>
    <col min="6172" max="6172" width="4.140625" style="564" customWidth="1"/>
    <col min="6173" max="6173" width="2.7109375" style="564" customWidth="1"/>
    <col min="6174" max="6174" width="12.5703125" style="564" customWidth="1"/>
    <col min="6175" max="6175" width="1" style="564" customWidth="1"/>
    <col min="6176" max="6176" width="1.140625" style="564" customWidth="1"/>
    <col min="6177" max="6177" width="2.85546875" style="564" customWidth="1"/>
    <col min="6178" max="6178" width="9.85546875" style="564" customWidth="1"/>
    <col min="6179" max="6400" width="6.85546875" style="564" customWidth="1"/>
    <col min="6401" max="6401" width="2.28515625" style="564" customWidth="1"/>
    <col min="6402" max="6402" width="1.85546875" style="564" customWidth="1"/>
    <col min="6403" max="6403" width="18.7109375" style="564" customWidth="1"/>
    <col min="6404" max="6404" width="2" style="564" customWidth="1"/>
    <col min="6405" max="6405" width="9.42578125" style="564" customWidth="1"/>
    <col min="6406" max="6406" width="1.85546875" style="564" customWidth="1"/>
    <col min="6407" max="6407" width="1.28515625" style="564" customWidth="1"/>
    <col min="6408" max="6408" width="1.42578125" style="564" customWidth="1"/>
    <col min="6409" max="6409" width="10.28515625" style="564" customWidth="1"/>
    <col min="6410" max="6410" width="2" style="564" customWidth="1"/>
    <col min="6411" max="6411" width="1.42578125" style="564" customWidth="1"/>
    <col min="6412" max="6412" width="8.5703125" style="564" customWidth="1"/>
    <col min="6413" max="6414" width="1.28515625" style="564" customWidth="1"/>
    <col min="6415" max="6415" width="1.42578125" style="564" customWidth="1"/>
    <col min="6416" max="6416" width="8" style="564" customWidth="1"/>
    <col min="6417" max="6417" width="1" style="564" customWidth="1"/>
    <col min="6418" max="6418" width="1.7109375" style="564" customWidth="1"/>
    <col min="6419" max="6419" width="1.85546875" style="564" customWidth="1"/>
    <col min="6420" max="6420" width="8" style="564" customWidth="1"/>
    <col min="6421" max="6421" width="1.5703125" style="564" customWidth="1"/>
    <col min="6422" max="6422" width="1.85546875" style="564" customWidth="1"/>
    <col min="6423" max="6423" width="1.140625" style="564" customWidth="1"/>
    <col min="6424" max="6424" width="8" style="564" customWidth="1"/>
    <col min="6425" max="6425" width="1.5703125" style="564" customWidth="1"/>
    <col min="6426" max="6426" width="1.85546875" style="564" customWidth="1"/>
    <col min="6427" max="6427" width="8" style="564" customWidth="1"/>
    <col min="6428" max="6428" width="4.140625" style="564" customWidth="1"/>
    <col min="6429" max="6429" width="2.7109375" style="564" customWidth="1"/>
    <col min="6430" max="6430" width="12.5703125" style="564" customWidth="1"/>
    <col min="6431" max="6431" width="1" style="564" customWidth="1"/>
    <col min="6432" max="6432" width="1.140625" style="564" customWidth="1"/>
    <col min="6433" max="6433" width="2.85546875" style="564" customWidth="1"/>
    <col min="6434" max="6434" width="9.85546875" style="564" customWidth="1"/>
    <col min="6435" max="6656" width="6.85546875" style="564" customWidth="1"/>
    <col min="6657" max="6657" width="2.28515625" style="564" customWidth="1"/>
    <col min="6658" max="6658" width="1.85546875" style="564" customWidth="1"/>
    <col min="6659" max="6659" width="18.7109375" style="564" customWidth="1"/>
    <col min="6660" max="6660" width="2" style="564" customWidth="1"/>
    <col min="6661" max="6661" width="9.42578125" style="564" customWidth="1"/>
    <col min="6662" max="6662" width="1.85546875" style="564" customWidth="1"/>
    <col min="6663" max="6663" width="1.28515625" style="564" customWidth="1"/>
    <col min="6664" max="6664" width="1.42578125" style="564" customWidth="1"/>
    <col min="6665" max="6665" width="10.28515625" style="564" customWidth="1"/>
    <col min="6666" max="6666" width="2" style="564" customWidth="1"/>
    <col min="6667" max="6667" width="1.42578125" style="564" customWidth="1"/>
    <col min="6668" max="6668" width="8.5703125" style="564" customWidth="1"/>
    <col min="6669" max="6670" width="1.28515625" style="564" customWidth="1"/>
    <col min="6671" max="6671" width="1.42578125" style="564" customWidth="1"/>
    <col min="6672" max="6672" width="8" style="564" customWidth="1"/>
    <col min="6673" max="6673" width="1" style="564" customWidth="1"/>
    <col min="6674" max="6674" width="1.7109375" style="564" customWidth="1"/>
    <col min="6675" max="6675" width="1.85546875" style="564" customWidth="1"/>
    <col min="6676" max="6676" width="8" style="564" customWidth="1"/>
    <col min="6677" max="6677" width="1.5703125" style="564" customWidth="1"/>
    <col min="6678" max="6678" width="1.85546875" style="564" customWidth="1"/>
    <col min="6679" max="6679" width="1.140625" style="564" customWidth="1"/>
    <col min="6680" max="6680" width="8" style="564" customWidth="1"/>
    <col min="6681" max="6681" width="1.5703125" style="564" customWidth="1"/>
    <col min="6682" max="6682" width="1.85546875" style="564" customWidth="1"/>
    <col min="6683" max="6683" width="8" style="564" customWidth="1"/>
    <col min="6684" max="6684" width="4.140625" style="564" customWidth="1"/>
    <col min="6685" max="6685" width="2.7109375" style="564" customWidth="1"/>
    <col min="6686" max="6686" width="12.5703125" style="564" customWidth="1"/>
    <col min="6687" max="6687" width="1" style="564" customWidth="1"/>
    <col min="6688" max="6688" width="1.140625" style="564" customWidth="1"/>
    <col min="6689" max="6689" width="2.85546875" style="564" customWidth="1"/>
    <col min="6690" max="6690" width="9.85546875" style="564" customWidth="1"/>
    <col min="6691" max="6912" width="6.85546875" style="564" customWidth="1"/>
    <col min="6913" max="6913" width="2.28515625" style="564" customWidth="1"/>
    <col min="6914" max="6914" width="1.85546875" style="564" customWidth="1"/>
    <col min="6915" max="6915" width="18.7109375" style="564" customWidth="1"/>
    <col min="6916" max="6916" width="2" style="564" customWidth="1"/>
    <col min="6917" max="6917" width="9.42578125" style="564" customWidth="1"/>
    <col min="6918" max="6918" width="1.85546875" style="564" customWidth="1"/>
    <col min="6919" max="6919" width="1.28515625" style="564" customWidth="1"/>
    <col min="6920" max="6920" width="1.42578125" style="564" customWidth="1"/>
    <col min="6921" max="6921" width="10.28515625" style="564" customWidth="1"/>
    <col min="6922" max="6922" width="2" style="564" customWidth="1"/>
    <col min="6923" max="6923" width="1.42578125" style="564" customWidth="1"/>
    <col min="6924" max="6924" width="8.5703125" style="564" customWidth="1"/>
    <col min="6925" max="6926" width="1.28515625" style="564" customWidth="1"/>
    <col min="6927" max="6927" width="1.42578125" style="564" customWidth="1"/>
    <col min="6928" max="6928" width="8" style="564" customWidth="1"/>
    <col min="6929" max="6929" width="1" style="564" customWidth="1"/>
    <col min="6930" max="6930" width="1.7109375" style="564" customWidth="1"/>
    <col min="6931" max="6931" width="1.85546875" style="564" customWidth="1"/>
    <col min="6932" max="6932" width="8" style="564" customWidth="1"/>
    <col min="6933" max="6933" width="1.5703125" style="564" customWidth="1"/>
    <col min="6934" max="6934" width="1.85546875" style="564" customWidth="1"/>
    <col min="6935" max="6935" width="1.140625" style="564" customWidth="1"/>
    <col min="6936" max="6936" width="8" style="564" customWidth="1"/>
    <col min="6937" max="6937" width="1.5703125" style="564" customWidth="1"/>
    <col min="6938" max="6938" width="1.85546875" style="564" customWidth="1"/>
    <col min="6939" max="6939" width="8" style="564" customWidth="1"/>
    <col min="6940" max="6940" width="4.140625" style="564" customWidth="1"/>
    <col min="6941" max="6941" width="2.7109375" style="564" customWidth="1"/>
    <col min="6942" max="6942" width="12.5703125" style="564" customWidth="1"/>
    <col min="6943" max="6943" width="1" style="564" customWidth="1"/>
    <col min="6944" max="6944" width="1.140625" style="564" customWidth="1"/>
    <col min="6945" max="6945" width="2.85546875" style="564" customWidth="1"/>
    <col min="6946" max="6946" width="9.85546875" style="564" customWidth="1"/>
    <col min="6947" max="7168" width="6.85546875" style="564" customWidth="1"/>
    <col min="7169" max="7169" width="2.28515625" style="564" customWidth="1"/>
    <col min="7170" max="7170" width="1.85546875" style="564" customWidth="1"/>
    <col min="7171" max="7171" width="18.7109375" style="564" customWidth="1"/>
    <col min="7172" max="7172" width="2" style="564" customWidth="1"/>
    <col min="7173" max="7173" width="9.42578125" style="564" customWidth="1"/>
    <col min="7174" max="7174" width="1.85546875" style="564" customWidth="1"/>
    <col min="7175" max="7175" width="1.28515625" style="564" customWidth="1"/>
    <col min="7176" max="7176" width="1.42578125" style="564" customWidth="1"/>
    <col min="7177" max="7177" width="10.28515625" style="564" customWidth="1"/>
    <col min="7178" max="7178" width="2" style="564" customWidth="1"/>
    <col min="7179" max="7179" width="1.42578125" style="564" customWidth="1"/>
    <col min="7180" max="7180" width="8.5703125" style="564" customWidth="1"/>
    <col min="7181" max="7182" width="1.28515625" style="564" customWidth="1"/>
    <col min="7183" max="7183" width="1.42578125" style="564" customWidth="1"/>
    <col min="7184" max="7184" width="8" style="564" customWidth="1"/>
    <col min="7185" max="7185" width="1" style="564" customWidth="1"/>
    <col min="7186" max="7186" width="1.7109375" style="564" customWidth="1"/>
    <col min="7187" max="7187" width="1.85546875" style="564" customWidth="1"/>
    <col min="7188" max="7188" width="8" style="564" customWidth="1"/>
    <col min="7189" max="7189" width="1.5703125" style="564" customWidth="1"/>
    <col min="7190" max="7190" width="1.85546875" style="564" customWidth="1"/>
    <col min="7191" max="7191" width="1.140625" style="564" customWidth="1"/>
    <col min="7192" max="7192" width="8" style="564" customWidth="1"/>
    <col min="7193" max="7193" width="1.5703125" style="564" customWidth="1"/>
    <col min="7194" max="7194" width="1.85546875" style="564" customWidth="1"/>
    <col min="7195" max="7195" width="8" style="564" customWidth="1"/>
    <col min="7196" max="7196" width="4.140625" style="564" customWidth="1"/>
    <col min="7197" max="7197" width="2.7109375" style="564" customWidth="1"/>
    <col min="7198" max="7198" width="12.5703125" style="564" customWidth="1"/>
    <col min="7199" max="7199" width="1" style="564" customWidth="1"/>
    <col min="7200" max="7200" width="1.140625" style="564" customWidth="1"/>
    <col min="7201" max="7201" width="2.85546875" style="564" customWidth="1"/>
    <col min="7202" max="7202" width="9.85546875" style="564" customWidth="1"/>
    <col min="7203" max="7424" width="6.85546875" style="564" customWidth="1"/>
    <col min="7425" max="7425" width="2.28515625" style="564" customWidth="1"/>
    <col min="7426" max="7426" width="1.85546875" style="564" customWidth="1"/>
    <col min="7427" max="7427" width="18.7109375" style="564" customWidth="1"/>
    <col min="7428" max="7428" width="2" style="564" customWidth="1"/>
    <col min="7429" max="7429" width="9.42578125" style="564" customWidth="1"/>
    <col min="7430" max="7430" width="1.85546875" style="564" customWidth="1"/>
    <col min="7431" max="7431" width="1.28515625" style="564" customWidth="1"/>
    <col min="7432" max="7432" width="1.42578125" style="564" customWidth="1"/>
    <col min="7433" max="7433" width="10.28515625" style="564" customWidth="1"/>
    <col min="7434" max="7434" width="2" style="564" customWidth="1"/>
    <col min="7435" max="7435" width="1.42578125" style="564" customWidth="1"/>
    <col min="7436" max="7436" width="8.5703125" style="564" customWidth="1"/>
    <col min="7437" max="7438" width="1.28515625" style="564" customWidth="1"/>
    <col min="7439" max="7439" width="1.42578125" style="564" customWidth="1"/>
    <col min="7440" max="7440" width="8" style="564" customWidth="1"/>
    <col min="7441" max="7441" width="1" style="564" customWidth="1"/>
    <col min="7442" max="7442" width="1.7109375" style="564" customWidth="1"/>
    <col min="7443" max="7443" width="1.85546875" style="564" customWidth="1"/>
    <col min="7444" max="7444" width="8" style="564" customWidth="1"/>
    <col min="7445" max="7445" width="1.5703125" style="564" customWidth="1"/>
    <col min="7446" max="7446" width="1.85546875" style="564" customWidth="1"/>
    <col min="7447" max="7447" width="1.140625" style="564" customWidth="1"/>
    <col min="7448" max="7448" width="8" style="564" customWidth="1"/>
    <col min="7449" max="7449" width="1.5703125" style="564" customWidth="1"/>
    <col min="7450" max="7450" width="1.85546875" style="564" customWidth="1"/>
    <col min="7451" max="7451" width="8" style="564" customWidth="1"/>
    <col min="7452" max="7452" width="4.140625" style="564" customWidth="1"/>
    <col min="7453" max="7453" width="2.7109375" style="564" customWidth="1"/>
    <col min="7454" max="7454" width="12.5703125" style="564" customWidth="1"/>
    <col min="7455" max="7455" width="1" style="564" customWidth="1"/>
    <col min="7456" max="7456" width="1.140625" style="564" customWidth="1"/>
    <col min="7457" max="7457" width="2.85546875" style="564" customWidth="1"/>
    <col min="7458" max="7458" width="9.85546875" style="564" customWidth="1"/>
    <col min="7459" max="7680" width="6.85546875" style="564" customWidth="1"/>
    <col min="7681" max="7681" width="2.28515625" style="564" customWidth="1"/>
    <col min="7682" max="7682" width="1.85546875" style="564" customWidth="1"/>
    <col min="7683" max="7683" width="18.7109375" style="564" customWidth="1"/>
    <col min="7684" max="7684" width="2" style="564" customWidth="1"/>
    <col min="7685" max="7685" width="9.42578125" style="564" customWidth="1"/>
    <col min="7686" max="7686" width="1.85546875" style="564" customWidth="1"/>
    <col min="7687" max="7687" width="1.28515625" style="564" customWidth="1"/>
    <col min="7688" max="7688" width="1.42578125" style="564" customWidth="1"/>
    <col min="7689" max="7689" width="10.28515625" style="564" customWidth="1"/>
    <col min="7690" max="7690" width="2" style="564" customWidth="1"/>
    <col min="7691" max="7691" width="1.42578125" style="564" customWidth="1"/>
    <col min="7692" max="7692" width="8.5703125" style="564" customWidth="1"/>
    <col min="7693" max="7694" width="1.28515625" style="564" customWidth="1"/>
    <col min="7695" max="7695" width="1.42578125" style="564" customWidth="1"/>
    <col min="7696" max="7696" width="8" style="564" customWidth="1"/>
    <col min="7697" max="7697" width="1" style="564" customWidth="1"/>
    <col min="7698" max="7698" width="1.7109375" style="564" customWidth="1"/>
    <col min="7699" max="7699" width="1.85546875" style="564" customWidth="1"/>
    <col min="7700" max="7700" width="8" style="564" customWidth="1"/>
    <col min="7701" max="7701" width="1.5703125" style="564" customWidth="1"/>
    <col min="7702" max="7702" width="1.85546875" style="564" customWidth="1"/>
    <col min="7703" max="7703" width="1.140625" style="564" customWidth="1"/>
    <col min="7704" max="7704" width="8" style="564" customWidth="1"/>
    <col min="7705" max="7705" width="1.5703125" style="564" customWidth="1"/>
    <col min="7706" max="7706" width="1.85546875" style="564" customWidth="1"/>
    <col min="7707" max="7707" width="8" style="564" customWidth="1"/>
    <col min="7708" max="7708" width="4.140625" style="564" customWidth="1"/>
    <col min="7709" max="7709" width="2.7109375" style="564" customWidth="1"/>
    <col min="7710" max="7710" width="12.5703125" style="564" customWidth="1"/>
    <col min="7711" max="7711" width="1" style="564" customWidth="1"/>
    <col min="7712" max="7712" width="1.140625" style="564" customWidth="1"/>
    <col min="7713" max="7713" width="2.85546875" style="564" customWidth="1"/>
    <col min="7714" max="7714" width="9.85546875" style="564" customWidth="1"/>
    <col min="7715" max="7936" width="6.85546875" style="564" customWidth="1"/>
    <col min="7937" max="7937" width="2.28515625" style="564" customWidth="1"/>
    <col min="7938" max="7938" width="1.85546875" style="564" customWidth="1"/>
    <col min="7939" max="7939" width="18.7109375" style="564" customWidth="1"/>
    <col min="7940" max="7940" width="2" style="564" customWidth="1"/>
    <col min="7941" max="7941" width="9.42578125" style="564" customWidth="1"/>
    <col min="7942" max="7942" width="1.85546875" style="564" customWidth="1"/>
    <col min="7943" max="7943" width="1.28515625" style="564" customWidth="1"/>
    <col min="7944" max="7944" width="1.42578125" style="564" customWidth="1"/>
    <col min="7945" max="7945" width="10.28515625" style="564" customWidth="1"/>
    <col min="7946" max="7946" width="2" style="564" customWidth="1"/>
    <col min="7947" max="7947" width="1.42578125" style="564" customWidth="1"/>
    <col min="7948" max="7948" width="8.5703125" style="564" customWidth="1"/>
    <col min="7949" max="7950" width="1.28515625" style="564" customWidth="1"/>
    <col min="7951" max="7951" width="1.42578125" style="564" customWidth="1"/>
    <col min="7952" max="7952" width="8" style="564" customWidth="1"/>
    <col min="7953" max="7953" width="1" style="564" customWidth="1"/>
    <col min="7954" max="7954" width="1.7109375" style="564" customWidth="1"/>
    <col min="7955" max="7955" width="1.85546875" style="564" customWidth="1"/>
    <col min="7956" max="7956" width="8" style="564" customWidth="1"/>
    <col min="7957" max="7957" width="1.5703125" style="564" customWidth="1"/>
    <col min="7958" max="7958" width="1.85546875" style="564" customWidth="1"/>
    <col min="7959" max="7959" width="1.140625" style="564" customWidth="1"/>
    <col min="7960" max="7960" width="8" style="564" customWidth="1"/>
    <col min="7961" max="7961" width="1.5703125" style="564" customWidth="1"/>
    <col min="7962" max="7962" width="1.85546875" style="564" customWidth="1"/>
    <col min="7963" max="7963" width="8" style="564" customWidth="1"/>
    <col min="7964" max="7964" width="4.140625" style="564" customWidth="1"/>
    <col min="7965" max="7965" width="2.7109375" style="564" customWidth="1"/>
    <col min="7966" max="7966" width="12.5703125" style="564" customWidth="1"/>
    <col min="7967" max="7967" width="1" style="564" customWidth="1"/>
    <col min="7968" max="7968" width="1.140625" style="564" customWidth="1"/>
    <col min="7969" max="7969" width="2.85546875" style="564" customWidth="1"/>
    <col min="7970" max="7970" width="9.85546875" style="564" customWidth="1"/>
    <col min="7971" max="8192" width="6.85546875" style="564" customWidth="1"/>
    <col min="8193" max="8193" width="2.28515625" style="564" customWidth="1"/>
    <col min="8194" max="8194" width="1.85546875" style="564" customWidth="1"/>
    <col min="8195" max="8195" width="18.7109375" style="564" customWidth="1"/>
    <col min="8196" max="8196" width="2" style="564" customWidth="1"/>
    <col min="8197" max="8197" width="9.42578125" style="564" customWidth="1"/>
    <col min="8198" max="8198" width="1.85546875" style="564" customWidth="1"/>
    <col min="8199" max="8199" width="1.28515625" style="564" customWidth="1"/>
    <col min="8200" max="8200" width="1.42578125" style="564" customWidth="1"/>
    <col min="8201" max="8201" width="10.28515625" style="564" customWidth="1"/>
    <col min="8202" max="8202" width="2" style="564" customWidth="1"/>
    <col min="8203" max="8203" width="1.42578125" style="564" customWidth="1"/>
    <col min="8204" max="8204" width="8.5703125" style="564" customWidth="1"/>
    <col min="8205" max="8206" width="1.28515625" style="564" customWidth="1"/>
    <col min="8207" max="8207" width="1.42578125" style="564" customWidth="1"/>
    <col min="8208" max="8208" width="8" style="564" customWidth="1"/>
    <col min="8209" max="8209" width="1" style="564" customWidth="1"/>
    <col min="8210" max="8210" width="1.7109375" style="564" customWidth="1"/>
    <col min="8211" max="8211" width="1.85546875" style="564" customWidth="1"/>
    <col min="8212" max="8212" width="8" style="564" customWidth="1"/>
    <col min="8213" max="8213" width="1.5703125" style="564" customWidth="1"/>
    <col min="8214" max="8214" width="1.85546875" style="564" customWidth="1"/>
    <col min="8215" max="8215" width="1.140625" style="564" customWidth="1"/>
    <col min="8216" max="8216" width="8" style="564" customWidth="1"/>
    <col min="8217" max="8217" width="1.5703125" style="564" customWidth="1"/>
    <col min="8218" max="8218" width="1.85546875" style="564" customWidth="1"/>
    <col min="8219" max="8219" width="8" style="564" customWidth="1"/>
    <col min="8220" max="8220" width="4.140625" style="564" customWidth="1"/>
    <col min="8221" max="8221" width="2.7109375" style="564" customWidth="1"/>
    <col min="8222" max="8222" width="12.5703125" style="564" customWidth="1"/>
    <col min="8223" max="8223" width="1" style="564" customWidth="1"/>
    <col min="8224" max="8224" width="1.140625" style="564" customWidth="1"/>
    <col min="8225" max="8225" width="2.85546875" style="564" customWidth="1"/>
    <col min="8226" max="8226" width="9.85546875" style="564" customWidth="1"/>
    <col min="8227" max="8448" width="6.85546875" style="564" customWidth="1"/>
    <col min="8449" max="8449" width="2.28515625" style="564" customWidth="1"/>
    <col min="8450" max="8450" width="1.85546875" style="564" customWidth="1"/>
    <col min="8451" max="8451" width="18.7109375" style="564" customWidth="1"/>
    <col min="8452" max="8452" width="2" style="564" customWidth="1"/>
    <col min="8453" max="8453" width="9.42578125" style="564" customWidth="1"/>
    <col min="8454" max="8454" width="1.85546875" style="564" customWidth="1"/>
    <col min="8455" max="8455" width="1.28515625" style="564" customWidth="1"/>
    <col min="8456" max="8456" width="1.42578125" style="564" customWidth="1"/>
    <col min="8457" max="8457" width="10.28515625" style="564" customWidth="1"/>
    <col min="8458" max="8458" width="2" style="564" customWidth="1"/>
    <col min="8459" max="8459" width="1.42578125" style="564" customWidth="1"/>
    <col min="8460" max="8460" width="8.5703125" style="564" customWidth="1"/>
    <col min="8461" max="8462" width="1.28515625" style="564" customWidth="1"/>
    <col min="8463" max="8463" width="1.42578125" style="564" customWidth="1"/>
    <col min="8464" max="8464" width="8" style="564" customWidth="1"/>
    <col min="8465" max="8465" width="1" style="564" customWidth="1"/>
    <col min="8466" max="8466" width="1.7109375" style="564" customWidth="1"/>
    <col min="8467" max="8467" width="1.85546875" style="564" customWidth="1"/>
    <col min="8468" max="8468" width="8" style="564" customWidth="1"/>
    <col min="8469" max="8469" width="1.5703125" style="564" customWidth="1"/>
    <col min="8470" max="8470" width="1.85546875" style="564" customWidth="1"/>
    <col min="8471" max="8471" width="1.140625" style="564" customWidth="1"/>
    <col min="8472" max="8472" width="8" style="564" customWidth="1"/>
    <col min="8473" max="8473" width="1.5703125" style="564" customWidth="1"/>
    <col min="8474" max="8474" width="1.85546875" style="564" customWidth="1"/>
    <col min="8475" max="8475" width="8" style="564" customWidth="1"/>
    <col min="8476" max="8476" width="4.140625" style="564" customWidth="1"/>
    <col min="8477" max="8477" width="2.7109375" style="564" customWidth="1"/>
    <col min="8478" max="8478" width="12.5703125" style="564" customWidth="1"/>
    <col min="8479" max="8479" width="1" style="564" customWidth="1"/>
    <col min="8480" max="8480" width="1.140625" style="564" customWidth="1"/>
    <col min="8481" max="8481" width="2.85546875" style="564" customWidth="1"/>
    <col min="8482" max="8482" width="9.85546875" style="564" customWidth="1"/>
    <col min="8483" max="8704" width="6.85546875" style="564" customWidth="1"/>
    <col min="8705" max="8705" width="2.28515625" style="564" customWidth="1"/>
    <col min="8706" max="8706" width="1.85546875" style="564" customWidth="1"/>
    <col min="8707" max="8707" width="18.7109375" style="564" customWidth="1"/>
    <col min="8708" max="8708" width="2" style="564" customWidth="1"/>
    <col min="8709" max="8709" width="9.42578125" style="564" customWidth="1"/>
    <col min="8710" max="8710" width="1.85546875" style="564" customWidth="1"/>
    <col min="8711" max="8711" width="1.28515625" style="564" customWidth="1"/>
    <col min="8712" max="8712" width="1.42578125" style="564" customWidth="1"/>
    <col min="8713" max="8713" width="10.28515625" style="564" customWidth="1"/>
    <col min="8714" max="8714" width="2" style="564" customWidth="1"/>
    <col min="8715" max="8715" width="1.42578125" style="564" customWidth="1"/>
    <col min="8716" max="8716" width="8.5703125" style="564" customWidth="1"/>
    <col min="8717" max="8718" width="1.28515625" style="564" customWidth="1"/>
    <col min="8719" max="8719" width="1.42578125" style="564" customWidth="1"/>
    <col min="8720" max="8720" width="8" style="564" customWidth="1"/>
    <col min="8721" max="8721" width="1" style="564" customWidth="1"/>
    <col min="8722" max="8722" width="1.7109375" style="564" customWidth="1"/>
    <col min="8723" max="8723" width="1.85546875" style="564" customWidth="1"/>
    <col min="8724" max="8724" width="8" style="564" customWidth="1"/>
    <col min="8725" max="8725" width="1.5703125" style="564" customWidth="1"/>
    <col min="8726" max="8726" width="1.85546875" style="564" customWidth="1"/>
    <col min="8727" max="8727" width="1.140625" style="564" customWidth="1"/>
    <col min="8728" max="8728" width="8" style="564" customWidth="1"/>
    <col min="8729" max="8729" width="1.5703125" style="564" customWidth="1"/>
    <col min="8730" max="8730" width="1.85546875" style="564" customWidth="1"/>
    <col min="8731" max="8731" width="8" style="564" customWidth="1"/>
    <col min="8732" max="8732" width="4.140625" style="564" customWidth="1"/>
    <col min="8733" max="8733" width="2.7109375" style="564" customWidth="1"/>
    <col min="8734" max="8734" width="12.5703125" style="564" customWidth="1"/>
    <col min="8735" max="8735" width="1" style="564" customWidth="1"/>
    <col min="8736" max="8736" width="1.140625" style="564" customWidth="1"/>
    <col min="8737" max="8737" width="2.85546875" style="564" customWidth="1"/>
    <col min="8738" max="8738" width="9.85546875" style="564" customWidth="1"/>
    <col min="8739" max="8960" width="6.85546875" style="564" customWidth="1"/>
    <col min="8961" max="8961" width="2.28515625" style="564" customWidth="1"/>
    <col min="8962" max="8962" width="1.85546875" style="564" customWidth="1"/>
    <col min="8963" max="8963" width="18.7109375" style="564" customWidth="1"/>
    <col min="8964" max="8964" width="2" style="564" customWidth="1"/>
    <col min="8965" max="8965" width="9.42578125" style="564" customWidth="1"/>
    <col min="8966" max="8966" width="1.85546875" style="564" customWidth="1"/>
    <col min="8967" max="8967" width="1.28515625" style="564" customWidth="1"/>
    <col min="8968" max="8968" width="1.42578125" style="564" customWidth="1"/>
    <col min="8969" max="8969" width="10.28515625" style="564" customWidth="1"/>
    <col min="8970" max="8970" width="2" style="564" customWidth="1"/>
    <col min="8971" max="8971" width="1.42578125" style="564" customWidth="1"/>
    <col min="8972" max="8972" width="8.5703125" style="564" customWidth="1"/>
    <col min="8973" max="8974" width="1.28515625" style="564" customWidth="1"/>
    <col min="8975" max="8975" width="1.42578125" style="564" customWidth="1"/>
    <col min="8976" max="8976" width="8" style="564" customWidth="1"/>
    <col min="8977" max="8977" width="1" style="564" customWidth="1"/>
    <col min="8978" max="8978" width="1.7109375" style="564" customWidth="1"/>
    <col min="8979" max="8979" width="1.85546875" style="564" customWidth="1"/>
    <col min="8980" max="8980" width="8" style="564" customWidth="1"/>
    <col min="8981" max="8981" width="1.5703125" style="564" customWidth="1"/>
    <col min="8982" max="8982" width="1.85546875" style="564" customWidth="1"/>
    <col min="8983" max="8983" width="1.140625" style="564" customWidth="1"/>
    <col min="8984" max="8984" width="8" style="564" customWidth="1"/>
    <col min="8985" max="8985" width="1.5703125" style="564" customWidth="1"/>
    <col min="8986" max="8986" width="1.85546875" style="564" customWidth="1"/>
    <col min="8987" max="8987" width="8" style="564" customWidth="1"/>
    <col min="8988" max="8988" width="4.140625" style="564" customWidth="1"/>
    <col min="8989" max="8989" width="2.7109375" style="564" customWidth="1"/>
    <col min="8990" max="8990" width="12.5703125" style="564" customWidth="1"/>
    <col min="8991" max="8991" width="1" style="564" customWidth="1"/>
    <col min="8992" max="8992" width="1.140625" style="564" customWidth="1"/>
    <col min="8993" max="8993" width="2.85546875" style="564" customWidth="1"/>
    <col min="8994" max="8994" width="9.85546875" style="564" customWidth="1"/>
    <col min="8995" max="9216" width="6.85546875" style="564" customWidth="1"/>
    <col min="9217" max="9217" width="2.28515625" style="564" customWidth="1"/>
    <col min="9218" max="9218" width="1.85546875" style="564" customWidth="1"/>
    <col min="9219" max="9219" width="18.7109375" style="564" customWidth="1"/>
    <col min="9220" max="9220" width="2" style="564" customWidth="1"/>
    <col min="9221" max="9221" width="9.42578125" style="564" customWidth="1"/>
    <col min="9222" max="9222" width="1.85546875" style="564" customWidth="1"/>
    <col min="9223" max="9223" width="1.28515625" style="564" customWidth="1"/>
    <col min="9224" max="9224" width="1.42578125" style="564" customWidth="1"/>
    <col min="9225" max="9225" width="10.28515625" style="564" customWidth="1"/>
    <col min="9226" max="9226" width="2" style="564" customWidth="1"/>
    <col min="9227" max="9227" width="1.42578125" style="564" customWidth="1"/>
    <col min="9228" max="9228" width="8.5703125" style="564" customWidth="1"/>
    <col min="9229" max="9230" width="1.28515625" style="564" customWidth="1"/>
    <col min="9231" max="9231" width="1.42578125" style="564" customWidth="1"/>
    <col min="9232" max="9232" width="8" style="564" customWidth="1"/>
    <col min="9233" max="9233" width="1" style="564" customWidth="1"/>
    <col min="9234" max="9234" width="1.7109375" style="564" customWidth="1"/>
    <col min="9235" max="9235" width="1.85546875" style="564" customWidth="1"/>
    <col min="9236" max="9236" width="8" style="564" customWidth="1"/>
    <col min="9237" max="9237" width="1.5703125" style="564" customWidth="1"/>
    <col min="9238" max="9238" width="1.85546875" style="564" customWidth="1"/>
    <col min="9239" max="9239" width="1.140625" style="564" customWidth="1"/>
    <col min="9240" max="9240" width="8" style="564" customWidth="1"/>
    <col min="9241" max="9241" width="1.5703125" style="564" customWidth="1"/>
    <col min="9242" max="9242" width="1.85546875" style="564" customWidth="1"/>
    <col min="9243" max="9243" width="8" style="564" customWidth="1"/>
    <col min="9244" max="9244" width="4.140625" style="564" customWidth="1"/>
    <col min="9245" max="9245" width="2.7109375" style="564" customWidth="1"/>
    <col min="9246" max="9246" width="12.5703125" style="564" customWidth="1"/>
    <col min="9247" max="9247" width="1" style="564" customWidth="1"/>
    <col min="9248" max="9248" width="1.140625" style="564" customWidth="1"/>
    <col min="9249" max="9249" width="2.85546875" style="564" customWidth="1"/>
    <col min="9250" max="9250" width="9.85546875" style="564" customWidth="1"/>
    <col min="9251" max="9472" width="6.85546875" style="564" customWidth="1"/>
    <col min="9473" max="9473" width="2.28515625" style="564" customWidth="1"/>
    <col min="9474" max="9474" width="1.85546875" style="564" customWidth="1"/>
    <col min="9475" max="9475" width="18.7109375" style="564" customWidth="1"/>
    <col min="9476" max="9476" width="2" style="564" customWidth="1"/>
    <col min="9477" max="9477" width="9.42578125" style="564" customWidth="1"/>
    <col min="9478" max="9478" width="1.85546875" style="564" customWidth="1"/>
    <col min="9479" max="9479" width="1.28515625" style="564" customWidth="1"/>
    <col min="9480" max="9480" width="1.42578125" style="564" customWidth="1"/>
    <col min="9481" max="9481" width="10.28515625" style="564" customWidth="1"/>
    <col min="9482" max="9482" width="2" style="564" customWidth="1"/>
    <col min="9483" max="9483" width="1.42578125" style="564" customWidth="1"/>
    <col min="9484" max="9484" width="8.5703125" style="564" customWidth="1"/>
    <col min="9485" max="9486" width="1.28515625" style="564" customWidth="1"/>
    <col min="9487" max="9487" width="1.42578125" style="564" customWidth="1"/>
    <col min="9488" max="9488" width="8" style="564" customWidth="1"/>
    <col min="9489" max="9489" width="1" style="564" customWidth="1"/>
    <col min="9490" max="9490" width="1.7109375" style="564" customWidth="1"/>
    <col min="9491" max="9491" width="1.85546875" style="564" customWidth="1"/>
    <col min="9492" max="9492" width="8" style="564" customWidth="1"/>
    <col min="9493" max="9493" width="1.5703125" style="564" customWidth="1"/>
    <col min="9494" max="9494" width="1.85546875" style="564" customWidth="1"/>
    <col min="9495" max="9495" width="1.140625" style="564" customWidth="1"/>
    <col min="9496" max="9496" width="8" style="564" customWidth="1"/>
    <col min="9497" max="9497" width="1.5703125" style="564" customWidth="1"/>
    <col min="9498" max="9498" width="1.85546875" style="564" customWidth="1"/>
    <col min="9499" max="9499" width="8" style="564" customWidth="1"/>
    <col min="9500" max="9500" width="4.140625" style="564" customWidth="1"/>
    <col min="9501" max="9501" width="2.7109375" style="564" customWidth="1"/>
    <col min="9502" max="9502" width="12.5703125" style="564" customWidth="1"/>
    <col min="9503" max="9503" width="1" style="564" customWidth="1"/>
    <col min="9504" max="9504" width="1.140625" style="564" customWidth="1"/>
    <col min="9505" max="9505" width="2.85546875" style="564" customWidth="1"/>
    <col min="9506" max="9506" width="9.85546875" style="564" customWidth="1"/>
    <col min="9507" max="9728" width="6.85546875" style="564" customWidth="1"/>
    <col min="9729" max="9729" width="2.28515625" style="564" customWidth="1"/>
    <col min="9730" max="9730" width="1.85546875" style="564" customWidth="1"/>
    <col min="9731" max="9731" width="18.7109375" style="564" customWidth="1"/>
    <col min="9732" max="9732" width="2" style="564" customWidth="1"/>
    <col min="9733" max="9733" width="9.42578125" style="564" customWidth="1"/>
    <col min="9734" max="9734" width="1.85546875" style="564" customWidth="1"/>
    <col min="9735" max="9735" width="1.28515625" style="564" customWidth="1"/>
    <col min="9736" max="9736" width="1.42578125" style="564" customWidth="1"/>
    <col min="9737" max="9737" width="10.28515625" style="564" customWidth="1"/>
    <col min="9738" max="9738" width="2" style="564" customWidth="1"/>
    <col min="9739" max="9739" width="1.42578125" style="564" customWidth="1"/>
    <col min="9740" max="9740" width="8.5703125" style="564" customWidth="1"/>
    <col min="9741" max="9742" width="1.28515625" style="564" customWidth="1"/>
    <col min="9743" max="9743" width="1.42578125" style="564" customWidth="1"/>
    <col min="9744" max="9744" width="8" style="564" customWidth="1"/>
    <col min="9745" max="9745" width="1" style="564" customWidth="1"/>
    <col min="9746" max="9746" width="1.7109375" style="564" customWidth="1"/>
    <col min="9747" max="9747" width="1.85546875" style="564" customWidth="1"/>
    <col min="9748" max="9748" width="8" style="564" customWidth="1"/>
    <col min="9749" max="9749" width="1.5703125" style="564" customWidth="1"/>
    <col min="9750" max="9750" width="1.85546875" style="564" customWidth="1"/>
    <col min="9751" max="9751" width="1.140625" style="564" customWidth="1"/>
    <col min="9752" max="9752" width="8" style="564" customWidth="1"/>
    <col min="9753" max="9753" width="1.5703125" style="564" customWidth="1"/>
    <col min="9754" max="9754" width="1.85546875" style="564" customWidth="1"/>
    <col min="9755" max="9755" width="8" style="564" customWidth="1"/>
    <col min="9756" max="9756" width="4.140625" style="564" customWidth="1"/>
    <col min="9757" max="9757" width="2.7109375" style="564" customWidth="1"/>
    <col min="9758" max="9758" width="12.5703125" style="564" customWidth="1"/>
    <col min="9759" max="9759" width="1" style="564" customWidth="1"/>
    <col min="9760" max="9760" width="1.140625" style="564" customWidth="1"/>
    <col min="9761" max="9761" width="2.85546875" style="564" customWidth="1"/>
    <col min="9762" max="9762" width="9.85546875" style="564" customWidth="1"/>
    <col min="9763" max="9984" width="6.85546875" style="564" customWidth="1"/>
    <col min="9985" max="9985" width="2.28515625" style="564" customWidth="1"/>
    <col min="9986" max="9986" width="1.85546875" style="564" customWidth="1"/>
    <col min="9987" max="9987" width="18.7109375" style="564" customWidth="1"/>
    <col min="9988" max="9988" width="2" style="564" customWidth="1"/>
    <col min="9989" max="9989" width="9.42578125" style="564" customWidth="1"/>
    <col min="9990" max="9990" width="1.85546875" style="564" customWidth="1"/>
    <col min="9991" max="9991" width="1.28515625" style="564" customWidth="1"/>
    <col min="9992" max="9992" width="1.42578125" style="564" customWidth="1"/>
    <col min="9993" max="9993" width="10.28515625" style="564" customWidth="1"/>
    <col min="9994" max="9994" width="2" style="564" customWidth="1"/>
    <col min="9995" max="9995" width="1.42578125" style="564" customWidth="1"/>
    <col min="9996" max="9996" width="8.5703125" style="564" customWidth="1"/>
    <col min="9997" max="9998" width="1.28515625" style="564" customWidth="1"/>
    <col min="9999" max="9999" width="1.42578125" style="564" customWidth="1"/>
    <col min="10000" max="10000" width="8" style="564" customWidth="1"/>
    <col min="10001" max="10001" width="1" style="564" customWidth="1"/>
    <col min="10002" max="10002" width="1.7109375" style="564" customWidth="1"/>
    <col min="10003" max="10003" width="1.85546875" style="564" customWidth="1"/>
    <col min="10004" max="10004" width="8" style="564" customWidth="1"/>
    <col min="10005" max="10005" width="1.5703125" style="564" customWidth="1"/>
    <col min="10006" max="10006" width="1.85546875" style="564" customWidth="1"/>
    <col min="10007" max="10007" width="1.140625" style="564" customWidth="1"/>
    <col min="10008" max="10008" width="8" style="564" customWidth="1"/>
    <col min="10009" max="10009" width="1.5703125" style="564" customWidth="1"/>
    <col min="10010" max="10010" width="1.85546875" style="564" customWidth="1"/>
    <col min="10011" max="10011" width="8" style="564" customWidth="1"/>
    <col min="10012" max="10012" width="4.140625" style="564" customWidth="1"/>
    <col min="10013" max="10013" width="2.7109375" style="564" customWidth="1"/>
    <col min="10014" max="10014" width="12.5703125" style="564" customWidth="1"/>
    <col min="10015" max="10015" width="1" style="564" customWidth="1"/>
    <col min="10016" max="10016" width="1.140625" style="564" customWidth="1"/>
    <col min="10017" max="10017" width="2.85546875" style="564" customWidth="1"/>
    <col min="10018" max="10018" width="9.85546875" style="564" customWidth="1"/>
    <col min="10019" max="10240" width="6.85546875" style="564" customWidth="1"/>
    <col min="10241" max="10241" width="2.28515625" style="564" customWidth="1"/>
    <col min="10242" max="10242" width="1.85546875" style="564" customWidth="1"/>
    <col min="10243" max="10243" width="18.7109375" style="564" customWidth="1"/>
    <col min="10244" max="10244" width="2" style="564" customWidth="1"/>
    <col min="10245" max="10245" width="9.42578125" style="564" customWidth="1"/>
    <col min="10246" max="10246" width="1.85546875" style="564" customWidth="1"/>
    <col min="10247" max="10247" width="1.28515625" style="564" customWidth="1"/>
    <col min="10248" max="10248" width="1.42578125" style="564" customWidth="1"/>
    <col min="10249" max="10249" width="10.28515625" style="564" customWidth="1"/>
    <col min="10250" max="10250" width="2" style="564" customWidth="1"/>
    <col min="10251" max="10251" width="1.42578125" style="564" customWidth="1"/>
    <col min="10252" max="10252" width="8.5703125" style="564" customWidth="1"/>
    <col min="10253" max="10254" width="1.28515625" style="564" customWidth="1"/>
    <col min="10255" max="10255" width="1.42578125" style="564" customWidth="1"/>
    <col min="10256" max="10256" width="8" style="564" customWidth="1"/>
    <col min="10257" max="10257" width="1" style="564" customWidth="1"/>
    <col min="10258" max="10258" width="1.7109375" style="564" customWidth="1"/>
    <col min="10259" max="10259" width="1.85546875" style="564" customWidth="1"/>
    <col min="10260" max="10260" width="8" style="564" customWidth="1"/>
    <col min="10261" max="10261" width="1.5703125" style="564" customWidth="1"/>
    <col min="10262" max="10262" width="1.85546875" style="564" customWidth="1"/>
    <col min="10263" max="10263" width="1.140625" style="564" customWidth="1"/>
    <col min="10264" max="10264" width="8" style="564" customWidth="1"/>
    <col min="10265" max="10265" width="1.5703125" style="564" customWidth="1"/>
    <col min="10266" max="10266" width="1.85546875" style="564" customWidth="1"/>
    <col min="10267" max="10267" width="8" style="564" customWidth="1"/>
    <col min="10268" max="10268" width="4.140625" style="564" customWidth="1"/>
    <col min="10269" max="10269" width="2.7109375" style="564" customWidth="1"/>
    <col min="10270" max="10270" width="12.5703125" style="564" customWidth="1"/>
    <col min="10271" max="10271" width="1" style="564" customWidth="1"/>
    <col min="10272" max="10272" width="1.140625" style="564" customWidth="1"/>
    <col min="10273" max="10273" width="2.85546875" style="564" customWidth="1"/>
    <col min="10274" max="10274" width="9.85546875" style="564" customWidth="1"/>
    <col min="10275" max="10496" width="6.85546875" style="564" customWidth="1"/>
    <col min="10497" max="10497" width="2.28515625" style="564" customWidth="1"/>
    <col min="10498" max="10498" width="1.85546875" style="564" customWidth="1"/>
    <col min="10499" max="10499" width="18.7109375" style="564" customWidth="1"/>
    <col min="10500" max="10500" width="2" style="564" customWidth="1"/>
    <col min="10501" max="10501" width="9.42578125" style="564" customWidth="1"/>
    <col min="10502" max="10502" width="1.85546875" style="564" customWidth="1"/>
    <col min="10503" max="10503" width="1.28515625" style="564" customWidth="1"/>
    <col min="10504" max="10504" width="1.42578125" style="564" customWidth="1"/>
    <col min="10505" max="10505" width="10.28515625" style="564" customWidth="1"/>
    <col min="10506" max="10506" width="2" style="564" customWidth="1"/>
    <col min="10507" max="10507" width="1.42578125" style="564" customWidth="1"/>
    <col min="10508" max="10508" width="8.5703125" style="564" customWidth="1"/>
    <col min="10509" max="10510" width="1.28515625" style="564" customWidth="1"/>
    <col min="10511" max="10511" width="1.42578125" style="564" customWidth="1"/>
    <col min="10512" max="10512" width="8" style="564" customWidth="1"/>
    <col min="10513" max="10513" width="1" style="564" customWidth="1"/>
    <col min="10514" max="10514" width="1.7109375" style="564" customWidth="1"/>
    <col min="10515" max="10515" width="1.85546875" style="564" customWidth="1"/>
    <col min="10516" max="10516" width="8" style="564" customWidth="1"/>
    <col min="10517" max="10517" width="1.5703125" style="564" customWidth="1"/>
    <col min="10518" max="10518" width="1.85546875" style="564" customWidth="1"/>
    <col min="10519" max="10519" width="1.140625" style="564" customWidth="1"/>
    <col min="10520" max="10520" width="8" style="564" customWidth="1"/>
    <col min="10521" max="10521" width="1.5703125" style="564" customWidth="1"/>
    <col min="10522" max="10522" width="1.85546875" style="564" customWidth="1"/>
    <col min="10523" max="10523" width="8" style="564" customWidth="1"/>
    <col min="10524" max="10524" width="4.140625" style="564" customWidth="1"/>
    <col min="10525" max="10525" width="2.7109375" style="564" customWidth="1"/>
    <col min="10526" max="10526" width="12.5703125" style="564" customWidth="1"/>
    <col min="10527" max="10527" width="1" style="564" customWidth="1"/>
    <col min="10528" max="10528" width="1.140625" style="564" customWidth="1"/>
    <col min="10529" max="10529" width="2.85546875" style="564" customWidth="1"/>
    <col min="10530" max="10530" width="9.85546875" style="564" customWidth="1"/>
    <col min="10531" max="10752" width="6.85546875" style="564" customWidth="1"/>
    <col min="10753" max="10753" width="2.28515625" style="564" customWidth="1"/>
    <col min="10754" max="10754" width="1.85546875" style="564" customWidth="1"/>
    <col min="10755" max="10755" width="18.7109375" style="564" customWidth="1"/>
    <col min="10756" max="10756" width="2" style="564" customWidth="1"/>
    <col min="10757" max="10757" width="9.42578125" style="564" customWidth="1"/>
    <col min="10758" max="10758" width="1.85546875" style="564" customWidth="1"/>
    <col min="10759" max="10759" width="1.28515625" style="564" customWidth="1"/>
    <col min="10760" max="10760" width="1.42578125" style="564" customWidth="1"/>
    <col min="10761" max="10761" width="10.28515625" style="564" customWidth="1"/>
    <col min="10762" max="10762" width="2" style="564" customWidth="1"/>
    <col min="10763" max="10763" width="1.42578125" style="564" customWidth="1"/>
    <col min="10764" max="10764" width="8.5703125" style="564" customWidth="1"/>
    <col min="10765" max="10766" width="1.28515625" style="564" customWidth="1"/>
    <col min="10767" max="10767" width="1.42578125" style="564" customWidth="1"/>
    <col min="10768" max="10768" width="8" style="564" customWidth="1"/>
    <col min="10769" max="10769" width="1" style="564" customWidth="1"/>
    <col min="10770" max="10770" width="1.7109375" style="564" customWidth="1"/>
    <col min="10771" max="10771" width="1.85546875" style="564" customWidth="1"/>
    <col min="10772" max="10772" width="8" style="564" customWidth="1"/>
    <col min="10773" max="10773" width="1.5703125" style="564" customWidth="1"/>
    <col min="10774" max="10774" width="1.85546875" style="564" customWidth="1"/>
    <col min="10775" max="10775" width="1.140625" style="564" customWidth="1"/>
    <col min="10776" max="10776" width="8" style="564" customWidth="1"/>
    <col min="10777" max="10777" width="1.5703125" style="564" customWidth="1"/>
    <col min="10778" max="10778" width="1.85546875" style="564" customWidth="1"/>
    <col min="10779" max="10779" width="8" style="564" customWidth="1"/>
    <col min="10780" max="10780" width="4.140625" style="564" customWidth="1"/>
    <col min="10781" max="10781" width="2.7109375" style="564" customWidth="1"/>
    <col min="10782" max="10782" width="12.5703125" style="564" customWidth="1"/>
    <col min="10783" max="10783" width="1" style="564" customWidth="1"/>
    <col min="10784" max="10784" width="1.140625" style="564" customWidth="1"/>
    <col min="10785" max="10785" width="2.85546875" style="564" customWidth="1"/>
    <col min="10786" max="10786" width="9.85546875" style="564" customWidth="1"/>
    <col min="10787" max="11008" width="6.85546875" style="564" customWidth="1"/>
    <col min="11009" max="11009" width="2.28515625" style="564" customWidth="1"/>
    <col min="11010" max="11010" width="1.85546875" style="564" customWidth="1"/>
    <col min="11011" max="11011" width="18.7109375" style="564" customWidth="1"/>
    <col min="11012" max="11012" width="2" style="564" customWidth="1"/>
    <col min="11013" max="11013" width="9.42578125" style="564" customWidth="1"/>
    <col min="11014" max="11014" width="1.85546875" style="564" customWidth="1"/>
    <col min="11015" max="11015" width="1.28515625" style="564" customWidth="1"/>
    <col min="11016" max="11016" width="1.42578125" style="564" customWidth="1"/>
    <col min="11017" max="11017" width="10.28515625" style="564" customWidth="1"/>
    <col min="11018" max="11018" width="2" style="564" customWidth="1"/>
    <col min="11019" max="11019" width="1.42578125" style="564" customWidth="1"/>
    <col min="11020" max="11020" width="8.5703125" style="564" customWidth="1"/>
    <col min="11021" max="11022" width="1.28515625" style="564" customWidth="1"/>
    <col min="11023" max="11023" width="1.42578125" style="564" customWidth="1"/>
    <col min="11024" max="11024" width="8" style="564" customWidth="1"/>
    <col min="11025" max="11025" width="1" style="564" customWidth="1"/>
    <col min="11026" max="11026" width="1.7109375" style="564" customWidth="1"/>
    <col min="11027" max="11027" width="1.85546875" style="564" customWidth="1"/>
    <col min="11028" max="11028" width="8" style="564" customWidth="1"/>
    <col min="11029" max="11029" width="1.5703125" style="564" customWidth="1"/>
    <col min="11030" max="11030" width="1.85546875" style="564" customWidth="1"/>
    <col min="11031" max="11031" width="1.140625" style="564" customWidth="1"/>
    <col min="11032" max="11032" width="8" style="564" customWidth="1"/>
    <col min="11033" max="11033" width="1.5703125" style="564" customWidth="1"/>
    <col min="11034" max="11034" width="1.85546875" style="564" customWidth="1"/>
    <col min="11035" max="11035" width="8" style="564" customWidth="1"/>
    <col min="11036" max="11036" width="4.140625" style="564" customWidth="1"/>
    <col min="11037" max="11037" width="2.7109375" style="564" customWidth="1"/>
    <col min="11038" max="11038" width="12.5703125" style="564" customWidth="1"/>
    <col min="11039" max="11039" width="1" style="564" customWidth="1"/>
    <col min="11040" max="11040" width="1.140625" style="564" customWidth="1"/>
    <col min="11041" max="11041" width="2.85546875" style="564" customWidth="1"/>
    <col min="11042" max="11042" width="9.85546875" style="564" customWidth="1"/>
    <col min="11043" max="11264" width="6.85546875" style="564" customWidth="1"/>
    <col min="11265" max="11265" width="2.28515625" style="564" customWidth="1"/>
    <col min="11266" max="11266" width="1.85546875" style="564" customWidth="1"/>
    <col min="11267" max="11267" width="18.7109375" style="564" customWidth="1"/>
    <col min="11268" max="11268" width="2" style="564" customWidth="1"/>
    <col min="11269" max="11269" width="9.42578125" style="564" customWidth="1"/>
    <col min="11270" max="11270" width="1.85546875" style="564" customWidth="1"/>
    <col min="11271" max="11271" width="1.28515625" style="564" customWidth="1"/>
    <col min="11272" max="11272" width="1.42578125" style="564" customWidth="1"/>
    <col min="11273" max="11273" width="10.28515625" style="564" customWidth="1"/>
    <col min="11274" max="11274" width="2" style="564" customWidth="1"/>
    <col min="11275" max="11275" width="1.42578125" style="564" customWidth="1"/>
    <col min="11276" max="11276" width="8.5703125" style="564" customWidth="1"/>
    <col min="11277" max="11278" width="1.28515625" style="564" customWidth="1"/>
    <col min="11279" max="11279" width="1.42578125" style="564" customWidth="1"/>
    <col min="11280" max="11280" width="8" style="564" customWidth="1"/>
    <col min="11281" max="11281" width="1" style="564" customWidth="1"/>
    <col min="11282" max="11282" width="1.7109375" style="564" customWidth="1"/>
    <col min="11283" max="11283" width="1.85546875" style="564" customWidth="1"/>
    <col min="11284" max="11284" width="8" style="564" customWidth="1"/>
    <col min="11285" max="11285" width="1.5703125" style="564" customWidth="1"/>
    <col min="11286" max="11286" width="1.85546875" style="564" customWidth="1"/>
    <col min="11287" max="11287" width="1.140625" style="564" customWidth="1"/>
    <col min="11288" max="11288" width="8" style="564" customWidth="1"/>
    <col min="11289" max="11289" width="1.5703125" style="564" customWidth="1"/>
    <col min="11290" max="11290" width="1.85546875" style="564" customWidth="1"/>
    <col min="11291" max="11291" width="8" style="564" customWidth="1"/>
    <col min="11292" max="11292" width="4.140625" style="564" customWidth="1"/>
    <col min="11293" max="11293" width="2.7109375" style="564" customWidth="1"/>
    <col min="11294" max="11294" width="12.5703125" style="564" customWidth="1"/>
    <col min="11295" max="11295" width="1" style="564" customWidth="1"/>
    <col min="11296" max="11296" width="1.140625" style="564" customWidth="1"/>
    <col min="11297" max="11297" width="2.85546875" style="564" customWidth="1"/>
    <col min="11298" max="11298" width="9.85546875" style="564" customWidth="1"/>
    <col min="11299" max="11520" width="6.85546875" style="564" customWidth="1"/>
    <col min="11521" max="11521" width="2.28515625" style="564" customWidth="1"/>
    <col min="11522" max="11522" width="1.85546875" style="564" customWidth="1"/>
    <col min="11523" max="11523" width="18.7109375" style="564" customWidth="1"/>
    <col min="11524" max="11524" width="2" style="564" customWidth="1"/>
    <col min="11525" max="11525" width="9.42578125" style="564" customWidth="1"/>
    <col min="11526" max="11526" width="1.85546875" style="564" customWidth="1"/>
    <col min="11527" max="11527" width="1.28515625" style="564" customWidth="1"/>
    <col min="11528" max="11528" width="1.42578125" style="564" customWidth="1"/>
    <col min="11529" max="11529" width="10.28515625" style="564" customWidth="1"/>
    <col min="11530" max="11530" width="2" style="564" customWidth="1"/>
    <col min="11531" max="11531" width="1.42578125" style="564" customWidth="1"/>
    <col min="11532" max="11532" width="8.5703125" style="564" customWidth="1"/>
    <col min="11533" max="11534" width="1.28515625" style="564" customWidth="1"/>
    <col min="11535" max="11535" width="1.42578125" style="564" customWidth="1"/>
    <col min="11536" max="11536" width="8" style="564" customWidth="1"/>
    <col min="11537" max="11537" width="1" style="564" customWidth="1"/>
    <col min="11538" max="11538" width="1.7109375" style="564" customWidth="1"/>
    <col min="11539" max="11539" width="1.85546875" style="564" customWidth="1"/>
    <col min="11540" max="11540" width="8" style="564" customWidth="1"/>
    <col min="11541" max="11541" width="1.5703125" style="564" customWidth="1"/>
    <col min="11542" max="11542" width="1.85546875" style="564" customWidth="1"/>
    <col min="11543" max="11543" width="1.140625" style="564" customWidth="1"/>
    <col min="11544" max="11544" width="8" style="564" customWidth="1"/>
    <col min="11545" max="11545" width="1.5703125" style="564" customWidth="1"/>
    <col min="11546" max="11546" width="1.85546875" style="564" customWidth="1"/>
    <col min="11547" max="11547" width="8" style="564" customWidth="1"/>
    <col min="11548" max="11548" width="4.140625" style="564" customWidth="1"/>
    <col min="11549" max="11549" width="2.7109375" style="564" customWidth="1"/>
    <col min="11550" max="11550" width="12.5703125" style="564" customWidth="1"/>
    <col min="11551" max="11551" width="1" style="564" customWidth="1"/>
    <col min="11552" max="11552" width="1.140625" style="564" customWidth="1"/>
    <col min="11553" max="11553" width="2.85546875" style="564" customWidth="1"/>
    <col min="11554" max="11554" width="9.85546875" style="564" customWidth="1"/>
    <col min="11555" max="11776" width="6.85546875" style="564" customWidth="1"/>
    <col min="11777" max="11777" width="2.28515625" style="564" customWidth="1"/>
    <col min="11778" max="11778" width="1.85546875" style="564" customWidth="1"/>
    <col min="11779" max="11779" width="18.7109375" style="564" customWidth="1"/>
    <col min="11780" max="11780" width="2" style="564" customWidth="1"/>
    <col min="11781" max="11781" width="9.42578125" style="564" customWidth="1"/>
    <col min="11782" max="11782" width="1.85546875" style="564" customWidth="1"/>
    <col min="11783" max="11783" width="1.28515625" style="564" customWidth="1"/>
    <col min="11784" max="11784" width="1.42578125" style="564" customWidth="1"/>
    <col min="11785" max="11785" width="10.28515625" style="564" customWidth="1"/>
    <col min="11786" max="11786" width="2" style="564" customWidth="1"/>
    <col min="11787" max="11787" width="1.42578125" style="564" customWidth="1"/>
    <col min="11788" max="11788" width="8.5703125" style="564" customWidth="1"/>
    <col min="11789" max="11790" width="1.28515625" style="564" customWidth="1"/>
    <col min="11791" max="11791" width="1.42578125" style="564" customWidth="1"/>
    <col min="11792" max="11792" width="8" style="564" customWidth="1"/>
    <col min="11793" max="11793" width="1" style="564" customWidth="1"/>
    <col min="11794" max="11794" width="1.7109375" style="564" customWidth="1"/>
    <col min="11795" max="11795" width="1.85546875" style="564" customWidth="1"/>
    <col min="11796" max="11796" width="8" style="564" customWidth="1"/>
    <col min="11797" max="11797" width="1.5703125" style="564" customWidth="1"/>
    <col min="11798" max="11798" width="1.85546875" style="564" customWidth="1"/>
    <col min="11799" max="11799" width="1.140625" style="564" customWidth="1"/>
    <col min="11800" max="11800" width="8" style="564" customWidth="1"/>
    <col min="11801" max="11801" width="1.5703125" style="564" customWidth="1"/>
    <col min="11802" max="11802" width="1.85546875" style="564" customWidth="1"/>
    <col min="11803" max="11803" width="8" style="564" customWidth="1"/>
    <col min="11804" max="11804" width="4.140625" style="564" customWidth="1"/>
    <col min="11805" max="11805" width="2.7109375" style="564" customWidth="1"/>
    <col min="11806" max="11806" width="12.5703125" style="564" customWidth="1"/>
    <col min="11807" max="11807" width="1" style="564" customWidth="1"/>
    <col min="11808" max="11808" width="1.140625" style="564" customWidth="1"/>
    <col min="11809" max="11809" width="2.85546875" style="564" customWidth="1"/>
    <col min="11810" max="11810" width="9.85546875" style="564" customWidth="1"/>
    <col min="11811" max="12032" width="6.85546875" style="564" customWidth="1"/>
    <col min="12033" max="12033" width="2.28515625" style="564" customWidth="1"/>
    <col min="12034" max="12034" width="1.85546875" style="564" customWidth="1"/>
    <col min="12035" max="12035" width="18.7109375" style="564" customWidth="1"/>
    <col min="12036" max="12036" width="2" style="564" customWidth="1"/>
    <col min="12037" max="12037" width="9.42578125" style="564" customWidth="1"/>
    <col min="12038" max="12038" width="1.85546875" style="564" customWidth="1"/>
    <col min="12039" max="12039" width="1.28515625" style="564" customWidth="1"/>
    <col min="12040" max="12040" width="1.42578125" style="564" customWidth="1"/>
    <col min="12041" max="12041" width="10.28515625" style="564" customWidth="1"/>
    <col min="12042" max="12042" width="2" style="564" customWidth="1"/>
    <col min="12043" max="12043" width="1.42578125" style="564" customWidth="1"/>
    <col min="12044" max="12044" width="8.5703125" style="564" customWidth="1"/>
    <col min="12045" max="12046" width="1.28515625" style="564" customWidth="1"/>
    <col min="12047" max="12047" width="1.42578125" style="564" customWidth="1"/>
    <col min="12048" max="12048" width="8" style="564" customWidth="1"/>
    <col min="12049" max="12049" width="1" style="564" customWidth="1"/>
    <col min="12050" max="12050" width="1.7109375" style="564" customWidth="1"/>
    <col min="12051" max="12051" width="1.85546875" style="564" customWidth="1"/>
    <col min="12052" max="12052" width="8" style="564" customWidth="1"/>
    <col min="12053" max="12053" width="1.5703125" style="564" customWidth="1"/>
    <col min="12054" max="12054" width="1.85546875" style="564" customWidth="1"/>
    <col min="12055" max="12055" width="1.140625" style="564" customWidth="1"/>
    <col min="12056" max="12056" width="8" style="564" customWidth="1"/>
    <col min="12057" max="12057" width="1.5703125" style="564" customWidth="1"/>
    <col min="12058" max="12058" width="1.85546875" style="564" customWidth="1"/>
    <col min="12059" max="12059" width="8" style="564" customWidth="1"/>
    <col min="12060" max="12060" width="4.140625" style="564" customWidth="1"/>
    <col min="12061" max="12061" width="2.7109375" style="564" customWidth="1"/>
    <col min="12062" max="12062" width="12.5703125" style="564" customWidth="1"/>
    <col min="12063" max="12063" width="1" style="564" customWidth="1"/>
    <col min="12064" max="12064" width="1.140625" style="564" customWidth="1"/>
    <col min="12065" max="12065" width="2.85546875" style="564" customWidth="1"/>
    <col min="12066" max="12066" width="9.85546875" style="564" customWidth="1"/>
    <col min="12067" max="12288" width="6.85546875" style="564" customWidth="1"/>
    <col min="12289" max="12289" width="2.28515625" style="564" customWidth="1"/>
    <col min="12290" max="12290" width="1.85546875" style="564" customWidth="1"/>
    <col min="12291" max="12291" width="18.7109375" style="564" customWidth="1"/>
    <col min="12292" max="12292" width="2" style="564" customWidth="1"/>
    <col min="12293" max="12293" width="9.42578125" style="564" customWidth="1"/>
    <col min="12294" max="12294" width="1.85546875" style="564" customWidth="1"/>
    <col min="12295" max="12295" width="1.28515625" style="564" customWidth="1"/>
    <col min="12296" max="12296" width="1.42578125" style="564" customWidth="1"/>
    <col min="12297" max="12297" width="10.28515625" style="564" customWidth="1"/>
    <col min="12298" max="12298" width="2" style="564" customWidth="1"/>
    <col min="12299" max="12299" width="1.42578125" style="564" customWidth="1"/>
    <col min="12300" max="12300" width="8.5703125" style="564" customWidth="1"/>
    <col min="12301" max="12302" width="1.28515625" style="564" customWidth="1"/>
    <col min="12303" max="12303" width="1.42578125" style="564" customWidth="1"/>
    <col min="12304" max="12304" width="8" style="564" customWidth="1"/>
    <col min="12305" max="12305" width="1" style="564" customWidth="1"/>
    <col min="12306" max="12306" width="1.7109375" style="564" customWidth="1"/>
    <col min="12307" max="12307" width="1.85546875" style="564" customWidth="1"/>
    <col min="12308" max="12308" width="8" style="564" customWidth="1"/>
    <col min="12309" max="12309" width="1.5703125" style="564" customWidth="1"/>
    <col min="12310" max="12310" width="1.85546875" style="564" customWidth="1"/>
    <col min="12311" max="12311" width="1.140625" style="564" customWidth="1"/>
    <col min="12312" max="12312" width="8" style="564" customWidth="1"/>
    <col min="12313" max="12313" width="1.5703125" style="564" customWidth="1"/>
    <col min="12314" max="12314" width="1.85546875" style="564" customWidth="1"/>
    <col min="12315" max="12315" width="8" style="564" customWidth="1"/>
    <col min="12316" max="12316" width="4.140625" style="564" customWidth="1"/>
    <col min="12317" max="12317" width="2.7109375" style="564" customWidth="1"/>
    <col min="12318" max="12318" width="12.5703125" style="564" customWidth="1"/>
    <col min="12319" max="12319" width="1" style="564" customWidth="1"/>
    <col min="12320" max="12320" width="1.140625" style="564" customWidth="1"/>
    <col min="12321" max="12321" width="2.85546875" style="564" customWidth="1"/>
    <col min="12322" max="12322" width="9.85546875" style="564" customWidth="1"/>
    <col min="12323" max="12544" width="6.85546875" style="564" customWidth="1"/>
    <col min="12545" max="12545" width="2.28515625" style="564" customWidth="1"/>
    <col min="12546" max="12546" width="1.85546875" style="564" customWidth="1"/>
    <col min="12547" max="12547" width="18.7109375" style="564" customWidth="1"/>
    <col min="12548" max="12548" width="2" style="564" customWidth="1"/>
    <col min="12549" max="12549" width="9.42578125" style="564" customWidth="1"/>
    <col min="12550" max="12550" width="1.85546875" style="564" customWidth="1"/>
    <col min="12551" max="12551" width="1.28515625" style="564" customWidth="1"/>
    <col min="12552" max="12552" width="1.42578125" style="564" customWidth="1"/>
    <col min="12553" max="12553" width="10.28515625" style="564" customWidth="1"/>
    <col min="12554" max="12554" width="2" style="564" customWidth="1"/>
    <col min="12555" max="12555" width="1.42578125" style="564" customWidth="1"/>
    <col min="12556" max="12556" width="8.5703125" style="564" customWidth="1"/>
    <col min="12557" max="12558" width="1.28515625" style="564" customWidth="1"/>
    <col min="12559" max="12559" width="1.42578125" style="564" customWidth="1"/>
    <col min="12560" max="12560" width="8" style="564" customWidth="1"/>
    <col min="12561" max="12561" width="1" style="564" customWidth="1"/>
    <col min="12562" max="12562" width="1.7109375" style="564" customWidth="1"/>
    <col min="12563" max="12563" width="1.85546875" style="564" customWidth="1"/>
    <col min="12564" max="12564" width="8" style="564" customWidth="1"/>
    <col min="12565" max="12565" width="1.5703125" style="564" customWidth="1"/>
    <col min="12566" max="12566" width="1.85546875" style="564" customWidth="1"/>
    <col min="12567" max="12567" width="1.140625" style="564" customWidth="1"/>
    <col min="12568" max="12568" width="8" style="564" customWidth="1"/>
    <col min="12569" max="12569" width="1.5703125" style="564" customWidth="1"/>
    <col min="12570" max="12570" width="1.85546875" style="564" customWidth="1"/>
    <col min="12571" max="12571" width="8" style="564" customWidth="1"/>
    <col min="12572" max="12572" width="4.140625" style="564" customWidth="1"/>
    <col min="12573" max="12573" width="2.7109375" style="564" customWidth="1"/>
    <col min="12574" max="12574" width="12.5703125" style="564" customWidth="1"/>
    <col min="12575" max="12575" width="1" style="564" customWidth="1"/>
    <col min="12576" max="12576" width="1.140625" style="564" customWidth="1"/>
    <col min="12577" max="12577" width="2.85546875" style="564" customWidth="1"/>
    <col min="12578" max="12578" width="9.85546875" style="564" customWidth="1"/>
    <col min="12579" max="12800" width="6.85546875" style="564" customWidth="1"/>
    <col min="12801" max="12801" width="2.28515625" style="564" customWidth="1"/>
    <col min="12802" max="12802" width="1.85546875" style="564" customWidth="1"/>
    <col min="12803" max="12803" width="18.7109375" style="564" customWidth="1"/>
    <col min="12804" max="12804" width="2" style="564" customWidth="1"/>
    <col min="12805" max="12805" width="9.42578125" style="564" customWidth="1"/>
    <col min="12806" max="12806" width="1.85546875" style="564" customWidth="1"/>
    <col min="12807" max="12807" width="1.28515625" style="564" customWidth="1"/>
    <col min="12808" max="12808" width="1.42578125" style="564" customWidth="1"/>
    <col min="12809" max="12809" width="10.28515625" style="564" customWidth="1"/>
    <col min="12810" max="12810" width="2" style="564" customWidth="1"/>
    <col min="12811" max="12811" width="1.42578125" style="564" customWidth="1"/>
    <col min="12812" max="12812" width="8.5703125" style="564" customWidth="1"/>
    <col min="12813" max="12814" width="1.28515625" style="564" customWidth="1"/>
    <col min="12815" max="12815" width="1.42578125" style="564" customWidth="1"/>
    <col min="12816" max="12816" width="8" style="564" customWidth="1"/>
    <col min="12817" max="12817" width="1" style="564" customWidth="1"/>
    <col min="12818" max="12818" width="1.7109375" style="564" customWidth="1"/>
    <col min="12819" max="12819" width="1.85546875" style="564" customWidth="1"/>
    <col min="12820" max="12820" width="8" style="564" customWidth="1"/>
    <col min="12821" max="12821" width="1.5703125" style="564" customWidth="1"/>
    <col min="12822" max="12822" width="1.85546875" style="564" customWidth="1"/>
    <col min="12823" max="12823" width="1.140625" style="564" customWidth="1"/>
    <col min="12824" max="12824" width="8" style="564" customWidth="1"/>
    <col min="12825" max="12825" width="1.5703125" style="564" customWidth="1"/>
    <col min="12826" max="12826" width="1.85546875" style="564" customWidth="1"/>
    <col min="12827" max="12827" width="8" style="564" customWidth="1"/>
    <col min="12828" max="12828" width="4.140625" style="564" customWidth="1"/>
    <col min="12829" max="12829" width="2.7109375" style="564" customWidth="1"/>
    <col min="12830" max="12830" width="12.5703125" style="564" customWidth="1"/>
    <col min="12831" max="12831" width="1" style="564" customWidth="1"/>
    <col min="12832" max="12832" width="1.140625" style="564" customWidth="1"/>
    <col min="12833" max="12833" width="2.85546875" style="564" customWidth="1"/>
    <col min="12834" max="12834" width="9.85546875" style="564" customWidth="1"/>
    <col min="12835" max="13056" width="6.85546875" style="564" customWidth="1"/>
    <col min="13057" max="13057" width="2.28515625" style="564" customWidth="1"/>
    <col min="13058" max="13058" width="1.85546875" style="564" customWidth="1"/>
    <col min="13059" max="13059" width="18.7109375" style="564" customWidth="1"/>
    <col min="13060" max="13060" width="2" style="564" customWidth="1"/>
    <col min="13061" max="13061" width="9.42578125" style="564" customWidth="1"/>
    <col min="13062" max="13062" width="1.85546875" style="564" customWidth="1"/>
    <col min="13063" max="13063" width="1.28515625" style="564" customWidth="1"/>
    <col min="13064" max="13064" width="1.42578125" style="564" customWidth="1"/>
    <col min="13065" max="13065" width="10.28515625" style="564" customWidth="1"/>
    <col min="13066" max="13066" width="2" style="564" customWidth="1"/>
    <col min="13067" max="13067" width="1.42578125" style="564" customWidth="1"/>
    <col min="13068" max="13068" width="8.5703125" style="564" customWidth="1"/>
    <col min="13069" max="13070" width="1.28515625" style="564" customWidth="1"/>
    <col min="13071" max="13071" width="1.42578125" style="564" customWidth="1"/>
    <col min="13072" max="13072" width="8" style="564" customWidth="1"/>
    <col min="13073" max="13073" width="1" style="564" customWidth="1"/>
    <col min="13074" max="13074" width="1.7109375" style="564" customWidth="1"/>
    <col min="13075" max="13075" width="1.85546875" style="564" customWidth="1"/>
    <col min="13076" max="13076" width="8" style="564" customWidth="1"/>
    <col min="13077" max="13077" width="1.5703125" style="564" customWidth="1"/>
    <col min="13078" max="13078" width="1.85546875" style="564" customWidth="1"/>
    <col min="13079" max="13079" width="1.140625" style="564" customWidth="1"/>
    <col min="13080" max="13080" width="8" style="564" customWidth="1"/>
    <col min="13081" max="13081" width="1.5703125" style="564" customWidth="1"/>
    <col min="13082" max="13082" width="1.85546875" style="564" customWidth="1"/>
    <col min="13083" max="13083" width="8" style="564" customWidth="1"/>
    <col min="13084" max="13084" width="4.140625" style="564" customWidth="1"/>
    <col min="13085" max="13085" width="2.7109375" style="564" customWidth="1"/>
    <col min="13086" max="13086" width="12.5703125" style="564" customWidth="1"/>
    <col min="13087" max="13087" width="1" style="564" customWidth="1"/>
    <col min="13088" max="13088" width="1.140625" style="564" customWidth="1"/>
    <col min="13089" max="13089" width="2.85546875" style="564" customWidth="1"/>
    <col min="13090" max="13090" width="9.85546875" style="564" customWidth="1"/>
    <col min="13091" max="13312" width="6.85546875" style="564" customWidth="1"/>
    <col min="13313" max="13313" width="2.28515625" style="564" customWidth="1"/>
    <col min="13314" max="13314" width="1.85546875" style="564" customWidth="1"/>
    <col min="13315" max="13315" width="18.7109375" style="564" customWidth="1"/>
    <col min="13316" max="13316" width="2" style="564" customWidth="1"/>
    <col min="13317" max="13317" width="9.42578125" style="564" customWidth="1"/>
    <col min="13318" max="13318" width="1.85546875" style="564" customWidth="1"/>
    <col min="13319" max="13319" width="1.28515625" style="564" customWidth="1"/>
    <col min="13320" max="13320" width="1.42578125" style="564" customWidth="1"/>
    <col min="13321" max="13321" width="10.28515625" style="564" customWidth="1"/>
    <col min="13322" max="13322" width="2" style="564" customWidth="1"/>
    <col min="13323" max="13323" width="1.42578125" style="564" customWidth="1"/>
    <col min="13324" max="13324" width="8.5703125" style="564" customWidth="1"/>
    <col min="13325" max="13326" width="1.28515625" style="564" customWidth="1"/>
    <col min="13327" max="13327" width="1.42578125" style="564" customWidth="1"/>
    <col min="13328" max="13328" width="8" style="564" customWidth="1"/>
    <col min="13329" max="13329" width="1" style="564" customWidth="1"/>
    <col min="13330" max="13330" width="1.7109375" style="564" customWidth="1"/>
    <col min="13331" max="13331" width="1.85546875" style="564" customWidth="1"/>
    <col min="13332" max="13332" width="8" style="564" customWidth="1"/>
    <col min="13333" max="13333" width="1.5703125" style="564" customWidth="1"/>
    <col min="13334" max="13334" width="1.85546875" style="564" customWidth="1"/>
    <col min="13335" max="13335" width="1.140625" style="564" customWidth="1"/>
    <col min="13336" max="13336" width="8" style="564" customWidth="1"/>
    <col min="13337" max="13337" width="1.5703125" style="564" customWidth="1"/>
    <col min="13338" max="13338" width="1.85546875" style="564" customWidth="1"/>
    <col min="13339" max="13339" width="8" style="564" customWidth="1"/>
    <col min="13340" max="13340" width="4.140625" style="564" customWidth="1"/>
    <col min="13341" max="13341" width="2.7109375" style="564" customWidth="1"/>
    <col min="13342" max="13342" width="12.5703125" style="564" customWidth="1"/>
    <col min="13343" max="13343" width="1" style="564" customWidth="1"/>
    <col min="13344" max="13344" width="1.140625" style="564" customWidth="1"/>
    <col min="13345" max="13345" width="2.85546875" style="564" customWidth="1"/>
    <col min="13346" max="13346" width="9.85546875" style="564" customWidth="1"/>
    <col min="13347" max="13568" width="6.85546875" style="564" customWidth="1"/>
    <col min="13569" max="13569" width="2.28515625" style="564" customWidth="1"/>
    <col min="13570" max="13570" width="1.85546875" style="564" customWidth="1"/>
    <col min="13571" max="13571" width="18.7109375" style="564" customWidth="1"/>
    <col min="13572" max="13572" width="2" style="564" customWidth="1"/>
    <col min="13573" max="13573" width="9.42578125" style="564" customWidth="1"/>
    <col min="13574" max="13574" width="1.85546875" style="564" customWidth="1"/>
    <col min="13575" max="13575" width="1.28515625" style="564" customWidth="1"/>
    <col min="13576" max="13576" width="1.42578125" style="564" customWidth="1"/>
    <col min="13577" max="13577" width="10.28515625" style="564" customWidth="1"/>
    <col min="13578" max="13578" width="2" style="564" customWidth="1"/>
    <col min="13579" max="13579" width="1.42578125" style="564" customWidth="1"/>
    <col min="13580" max="13580" width="8.5703125" style="564" customWidth="1"/>
    <col min="13581" max="13582" width="1.28515625" style="564" customWidth="1"/>
    <col min="13583" max="13583" width="1.42578125" style="564" customWidth="1"/>
    <col min="13584" max="13584" width="8" style="564" customWidth="1"/>
    <col min="13585" max="13585" width="1" style="564" customWidth="1"/>
    <col min="13586" max="13586" width="1.7109375" style="564" customWidth="1"/>
    <col min="13587" max="13587" width="1.85546875" style="564" customWidth="1"/>
    <col min="13588" max="13588" width="8" style="564" customWidth="1"/>
    <col min="13589" max="13589" width="1.5703125" style="564" customWidth="1"/>
    <col min="13590" max="13590" width="1.85546875" style="564" customWidth="1"/>
    <col min="13591" max="13591" width="1.140625" style="564" customWidth="1"/>
    <col min="13592" max="13592" width="8" style="564" customWidth="1"/>
    <col min="13593" max="13593" width="1.5703125" style="564" customWidth="1"/>
    <col min="13594" max="13594" width="1.85546875" style="564" customWidth="1"/>
    <col min="13595" max="13595" width="8" style="564" customWidth="1"/>
    <col min="13596" max="13596" width="4.140625" style="564" customWidth="1"/>
    <col min="13597" max="13597" width="2.7109375" style="564" customWidth="1"/>
    <col min="13598" max="13598" width="12.5703125" style="564" customWidth="1"/>
    <col min="13599" max="13599" width="1" style="564" customWidth="1"/>
    <col min="13600" max="13600" width="1.140625" style="564" customWidth="1"/>
    <col min="13601" max="13601" width="2.85546875" style="564" customWidth="1"/>
    <col min="13602" max="13602" width="9.85546875" style="564" customWidth="1"/>
    <col min="13603" max="13824" width="6.85546875" style="564" customWidth="1"/>
    <col min="13825" max="13825" width="2.28515625" style="564" customWidth="1"/>
    <col min="13826" max="13826" width="1.85546875" style="564" customWidth="1"/>
    <col min="13827" max="13827" width="18.7109375" style="564" customWidth="1"/>
    <col min="13828" max="13828" width="2" style="564" customWidth="1"/>
    <col min="13829" max="13829" width="9.42578125" style="564" customWidth="1"/>
    <col min="13830" max="13830" width="1.85546875" style="564" customWidth="1"/>
    <col min="13831" max="13831" width="1.28515625" style="564" customWidth="1"/>
    <col min="13832" max="13832" width="1.42578125" style="564" customWidth="1"/>
    <col min="13833" max="13833" width="10.28515625" style="564" customWidth="1"/>
    <col min="13834" max="13834" width="2" style="564" customWidth="1"/>
    <col min="13835" max="13835" width="1.42578125" style="564" customWidth="1"/>
    <col min="13836" max="13836" width="8.5703125" style="564" customWidth="1"/>
    <col min="13837" max="13838" width="1.28515625" style="564" customWidth="1"/>
    <col min="13839" max="13839" width="1.42578125" style="564" customWidth="1"/>
    <col min="13840" max="13840" width="8" style="564" customWidth="1"/>
    <col min="13841" max="13841" width="1" style="564" customWidth="1"/>
    <col min="13842" max="13842" width="1.7109375" style="564" customWidth="1"/>
    <col min="13843" max="13843" width="1.85546875" style="564" customWidth="1"/>
    <col min="13844" max="13844" width="8" style="564" customWidth="1"/>
    <col min="13845" max="13845" width="1.5703125" style="564" customWidth="1"/>
    <col min="13846" max="13846" width="1.85546875" style="564" customWidth="1"/>
    <col min="13847" max="13847" width="1.140625" style="564" customWidth="1"/>
    <col min="13848" max="13848" width="8" style="564" customWidth="1"/>
    <col min="13849" max="13849" width="1.5703125" style="564" customWidth="1"/>
    <col min="13850" max="13850" width="1.85546875" style="564" customWidth="1"/>
    <col min="13851" max="13851" width="8" style="564" customWidth="1"/>
    <col min="13852" max="13852" width="4.140625" style="564" customWidth="1"/>
    <col min="13853" max="13853" width="2.7109375" style="564" customWidth="1"/>
    <col min="13854" max="13854" width="12.5703125" style="564" customWidth="1"/>
    <col min="13855" max="13855" width="1" style="564" customWidth="1"/>
    <col min="13856" max="13856" width="1.140625" style="564" customWidth="1"/>
    <col min="13857" max="13857" width="2.85546875" style="564" customWidth="1"/>
    <col min="13858" max="13858" width="9.85546875" style="564" customWidth="1"/>
    <col min="13859" max="14080" width="6.85546875" style="564" customWidth="1"/>
    <col min="14081" max="14081" width="2.28515625" style="564" customWidth="1"/>
    <col min="14082" max="14082" width="1.85546875" style="564" customWidth="1"/>
    <col min="14083" max="14083" width="18.7109375" style="564" customWidth="1"/>
    <col min="14084" max="14084" width="2" style="564" customWidth="1"/>
    <col min="14085" max="14085" width="9.42578125" style="564" customWidth="1"/>
    <col min="14086" max="14086" width="1.85546875" style="564" customWidth="1"/>
    <col min="14087" max="14087" width="1.28515625" style="564" customWidth="1"/>
    <col min="14088" max="14088" width="1.42578125" style="564" customWidth="1"/>
    <col min="14089" max="14089" width="10.28515625" style="564" customWidth="1"/>
    <col min="14090" max="14090" width="2" style="564" customWidth="1"/>
    <col min="14091" max="14091" width="1.42578125" style="564" customWidth="1"/>
    <col min="14092" max="14092" width="8.5703125" style="564" customWidth="1"/>
    <col min="14093" max="14094" width="1.28515625" style="564" customWidth="1"/>
    <col min="14095" max="14095" width="1.42578125" style="564" customWidth="1"/>
    <col min="14096" max="14096" width="8" style="564" customWidth="1"/>
    <col min="14097" max="14097" width="1" style="564" customWidth="1"/>
    <col min="14098" max="14098" width="1.7109375" style="564" customWidth="1"/>
    <col min="14099" max="14099" width="1.85546875" style="564" customWidth="1"/>
    <col min="14100" max="14100" width="8" style="564" customWidth="1"/>
    <col min="14101" max="14101" width="1.5703125" style="564" customWidth="1"/>
    <col min="14102" max="14102" width="1.85546875" style="564" customWidth="1"/>
    <col min="14103" max="14103" width="1.140625" style="564" customWidth="1"/>
    <col min="14104" max="14104" width="8" style="564" customWidth="1"/>
    <col min="14105" max="14105" width="1.5703125" style="564" customWidth="1"/>
    <col min="14106" max="14106" width="1.85546875" style="564" customWidth="1"/>
    <col min="14107" max="14107" width="8" style="564" customWidth="1"/>
    <col min="14108" max="14108" width="4.140625" style="564" customWidth="1"/>
    <col min="14109" max="14109" width="2.7109375" style="564" customWidth="1"/>
    <col min="14110" max="14110" width="12.5703125" style="564" customWidth="1"/>
    <col min="14111" max="14111" width="1" style="564" customWidth="1"/>
    <col min="14112" max="14112" width="1.140625" style="564" customWidth="1"/>
    <col min="14113" max="14113" width="2.85546875" style="564" customWidth="1"/>
    <col min="14114" max="14114" width="9.85546875" style="564" customWidth="1"/>
    <col min="14115" max="14336" width="6.85546875" style="564" customWidth="1"/>
    <col min="14337" max="14337" width="2.28515625" style="564" customWidth="1"/>
    <col min="14338" max="14338" width="1.85546875" style="564" customWidth="1"/>
    <col min="14339" max="14339" width="18.7109375" style="564" customWidth="1"/>
    <col min="14340" max="14340" width="2" style="564" customWidth="1"/>
    <col min="14341" max="14341" width="9.42578125" style="564" customWidth="1"/>
    <col min="14342" max="14342" width="1.85546875" style="564" customWidth="1"/>
    <col min="14343" max="14343" width="1.28515625" style="564" customWidth="1"/>
    <col min="14344" max="14344" width="1.42578125" style="564" customWidth="1"/>
    <col min="14345" max="14345" width="10.28515625" style="564" customWidth="1"/>
    <col min="14346" max="14346" width="2" style="564" customWidth="1"/>
    <col min="14347" max="14347" width="1.42578125" style="564" customWidth="1"/>
    <col min="14348" max="14348" width="8.5703125" style="564" customWidth="1"/>
    <col min="14349" max="14350" width="1.28515625" style="564" customWidth="1"/>
    <col min="14351" max="14351" width="1.42578125" style="564" customWidth="1"/>
    <col min="14352" max="14352" width="8" style="564" customWidth="1"/>
    <col min="14353" max="14353" width="1" style="564" customWidth="1"/>
    <col min="14354" max="14354" width="1.7109375" style="564" customWidth="1"/>
    <col min="14355" max="14355" width="1.85546875" style="564" customWidth="1"/>
    <col min="14356" max="14356" width="8" style="564" customWidth="1"/>
    <col min="14357" max="14357" width="1.5703125" style="564" customWidth="1"/>
    <col min="14358" max="14358" width="1.85546875" style="564" customWidth="1"/>
    <col min="14359" max="14359" width="1.140625" style="564" customWidth="1"/>
    <col min="14360" max="14360" width="8" style="564" customWidth="1"/>
    <col min="14361" max="14361" width="1.5703125" style="564" customWidth="1"/>
    <col min="14362" max="14362" width="1.85546875" style="564" customWidth="1"/>
    <col min="14363" max="14363" width="8" style="564" customWidth="1"/>
    <col min="14364" max="14364" width="4.140625" style="564" customWidth="1"/>
    <col min="14365" max="14365" width="2.7109375" style="564" customWidth="1"/>
    <col min="14366" max="14366" width="12.5703125" style="564" customWidth="1"/>
    <col min="14367" max="14367" width="1" style="564" customWidth="1"/>
    <col min="14368" max="14368" width="1.140625" style="564" customWidth="1"/>
    <col min="14369" max="14369" width="2.85546875" style="564" customWidth="1"/>
    <col min="14370" max="14370" width="9.85546875" style="564" customWidth="1"/>
    <col min="14371" max="14592" width="6.85546875" style="564" customWidth="1"/>
    <col min="14593" max="14593" width="2.28515625" style="564" customWidth="1"/>
    <col min="14594" max="14594" width="1.85546875" style="564" customWidth="1"/>
    <col min="14595" max="14595" width="18.7109375" style="564" customWidth="1"/>
    <col min="14596" max="14596" width="2" style="564" customWidth="1"/>
    <col min="14597" max="14597" width="9.42578125" style="564" customWidth="1"/>
    <col min="14598" max="14598" width="1.85546875" style="564" customWidth="1"/>
    <col min="14599" max="14599" width="1.28515625" style="564" customWidth="1"/>
    <col min="14600" max="14600" width="1.42578125" style="564" customWidth="1"/>
    <col min="14601" max="14601" width="10.28515625" style="564" customWidth="1"/>
    <col min="14602" max="14602" width="2" style="564" customWidth="1"/>
    <col min="14603" max="14603" width="1.42578125" style="564" customWidth="1"/>
    <col min="14604" max="14604" width="8.5703125" style="564" customWidth="1"/>
    <col min="14605" max="14606" width="1.28515625" style="564" customWidth="1"/>
    <col min="14607" max="14607" width="1.42578125" style="564" customWidth="1"/>
    <col min="14608" max="14608" width="8" style="564" customWidth="1"/>
    <col min="14609" max="14609" width="1" style="564" customWidth="1"/>
    <col min="14610" max="14610" width="1.7109375" style="564" customWidth="1"/>
    <col min="14611" max="14611" width="1.85546875" style="564" customWidth="1"/>
    <col min="14612" max="14612" width="8" style="564" customWidth="1"/>
    <col min="14613" max="14613" width="1.5703125" style="564" customWidth="1"/>
    <col min="14614" max="14614" width="1.85546875" style="564" customWidth="1"/>
    <col min="14615" max="14615" width="1.140625" style="564" customWidth="1"/>
    <col min="14616" max="14616" width="8" style="564" customWidth="1"/>
    <col min="14617" max="14617" width="1.5703125" style="564" customWidth="1"/>
    <col min="14618" max="14618" width="1.85546875" style="564" customWidth="1"/>
    <col min="14619" max="14619" width="8" style="564" customWidth="1"/>
    <col min="14620" max="14620" width="4.140625" style="564" customWidth="1"/>
    <col min="14621" max="14621" width="2.7109375" style="564" customWidth="1"/>
    <col min="14622" max="14622" width="12.5703125" style="564" customWidth="1"/>
    <col min="14623" max="14623" width="1" style="564" customWidth="1"/>
    <col min="14624" max="14624" width="1.140625" style="564" customWidth="1"/>
    <col min="14625" max="14625" width="2.85546875" style="564" customWidth="1"/>
    <col min="14626" max="14626" width="9.85546875" style="564" customWidth="1"/>
    <col min="14627" max="14848" width="6.85546875" style="564" customWidth="1"/>
    <col min="14849" max="14849" width="2.28515625" style="564" customWidth="1"/>
    <col min="14850" max="14850" width="1.85546875" style="564" customWidth="1"/>
    <col min="14851" max="14851" width="18.7109375" style="564" customWidth="1"/>
    <col min="14852" max="14852" width="2" style="564" customWidth="1"/>
    <col min="14853" max="14853" width="9.42578125" style="564" customWidth="1"/>
    <col min="14854" max="14854" width="1.85546875" style="564" customWidth="1"/>
    <col min="14855" max="14855" width="1.28515625" style="564" customWidth="1"/>
    <col min="14856" max="14856" width="1.42578125" style="564" customWidth="1"/>
    <col min="14857" max="14857" width="10.28515625" style="564" customWidth="1"/>
    <col min="14858" max="14858" width="2" style="564" customWidth="1"/>
    <col min="14859" max="14859" width="1.42578125" style="564" customWidth="1"/>
    <col min="14860" max="14860" width="8.5703125" style="564" customWidth="1"/>
    <col min="14861" max="14862" width="1.28515625" style="564" customWidth="1"/>
    <col min="14863" max="14863" width="1.42578125" style="564" customWidth="1"/>
    <col min="14864" max="14864" width="8" style="564" customWidth="1"/>
    <col min="14865" max="14865" width="1" style="564" customWidth="1"/>
    <col min="14866" max="14866" width="1.7109375" style="564" customWidth="1"/>
    <col min="14867" max="14867" width="1.85546875" style="564" customWidth="1"/>
    <col min="14868" max="14868" width="8" style="564" customWidth="1"/>
    <col min="14869" max="14869" width="1.5703125" style="564" customWidth="1"/>
    <col min="14870" max="14870" width="1.85546875" style="564" customWidth="1"/>
    <col min="14871" max="14871" width="1.140625" style="564" customWidth="1"/>
    <col min="14872" max="14872" width="8" style="564" customWidth="1"/>
    <col min="14873" max="14873" width="1.5703125" style="564" customWidth="1"/>
    <col min="14874" max="14874" width="1.85546875" style="564" customWidth="1"/>
    <col min="14875" max="14875" width="8" style="564" customWidth="1"/>
    <col min="14876" max="14876" width="4.140625" style="564" customWidth="1"/>
    <col min="14877" max="14877" width="2.7109375" style="564" customWidth="1"/>
    <col min="14878" max="14878" width="12.5703125" style="564" customWidth="1"/>
    <col min="14879" max="14879" width="1" style="564" customWidth="1"/>
    <col min="14880" max="14880" width="1.140625" style="564" customWidth="1"/>
    <col min="14881" max="14881" width="2.85546875" style="564" customWidth="1"/>
    <col min="14882" max="14882" width="9.85546875" style="564" customWidth="1"/>
    <col min="14883" max="15104" width="6.85546875" style="564" customWidth="1"/>
    <col min="15105" max="15105" width="2.28515625" style="564" customWidth="1"/>
    <col min="15106" max="15106" width="1.85546875" style="564" customWidth="1"/>
    <col min="15107" max="15107" width="18.7109375" style="564" customWidth="1"/>
    <col min="15108" max="15108" width="2" style="564" customWidth="1"/>
    <col min="15109" max="15109" width="9.42578125" style="564" customWidth="1"/>
    <col min="15110" max="15110" width="1.85546875" style="564" customWidth="1"/>
    <col min="15111" max="15111" width="1.28515625" style="564" customWidth="1"/>
    <col min="15112" max="15112" width="1.42578125" style="564" customWidth="1"/>
    <col min="15113" max="15113" width="10.28515625" style="564" customWidth="1"/>
    <col min="15114" max="15114" width="2" style="564" customWidth="1"/>
    <col min="15115" max="15115" width="1.42578125" style="564" customWidth="1"/>
    <col min="15116" max="15116" width="8.5703125" style="564" customWidth="1"/>
    <col min="15117" max="15118" width="1.28515625" style="564" customWidth="1"/>
    <col min="15119" max="15119" width="1.42578125" style="564" customWidth="1"/>
    <col min="15120" max="15120" width="8" style="564" customWidth="1"/>
    <col min="15121" max="15121" width="1" style="564" customWidth="1"/>
    <col min="15122" max="15122" width="1.7109375" style="564" customWidth="1"/>
    <col min="15123" max="15123" width="1.85546875" style="564" customWidth="1"/>
    <col min="15124" max="15124" width="8" style="564" customWidth="1"/>
    <col min="15125" max="15125" width="1.5703125" style="564" customWidth="1"/>
    <col min="15126" max="15126" width="1.85546875" style="564" customWidth="1"/>
    <col min="15127" max="15127" width="1.140625" style="564" customWidth="1"/>
    <col min="15128" max="15128" width="8" style="564" customWidth="1"/>
    <col min="15129" max="15129" width="1.5703125" style="564" customWidth="1"/>
    <col min="15130" max="15130" width="1.85546875" style="564" customWidth="1"/>
    <col min="15131" max="15131" width="8" style="564" customWidth="1"/>
    <col min="15132" max="15132" width="4.140625" style="564" customWidth="1"/>
    <col min="15133" max="15133" width="2.7109375" style="564" customWidth="1"/>
    <col min="15134" max="15134" width="12.5703125" style="564" customWidth="1"/>
    <col min="15135" max="15135" width="1" style="564" customWidth="1"/>
    <col min="15136" max="15136" width="1.140625" style="564" customWidth="1"/>
    <col min="15137" max="15137" width="2.85546875" style="564" customWidth="1"/>
    <col min="15138" max="15138" width="9.85546875" style="564" customWidth="1"/>
    <col min="15139" max="15360" width="6.85546875" style="564" customWidth="1"/>
    <col min="15361" max="15361" width="2.28515625" style="564" customWidth="1"/>
    <col min="15362" max="15362" width="1.85546875" style="564" customWidth="1"/>
    <col min="15363" max="15363" width="18.7109375" style="564" customWidth="1"/>
    <col min="15364" max="15364" width="2" style="564" customWidth="1"/>
    <col min="15365" max="15365" width="9.42578125" style="564" customWidth="1"/>
    <col min="15366" max="15366" width="1.85546875" style="564" customWidth="1"/>
    <col min="15367" max="15367" width="1.28515625" style="564" customWidth="1"/>
    <col min="15368" max="15368" width="1.42578125" style="564" customWidth="1"/>
    <col min="15369" max="15369" width="10.28515625" style="564" customWidth="1"/>
    <col min="15370" max="15370" width="2" style="564" customWidth="1"/>
    <col min="15371" max="15371" width="1.42578125" style="564" customWidth="1"/>
    <col min="15372" max="15372" width="8.5703125" style="564" customWidth="1"/>
    <col min="15373" max="15374" width="1.28515625" style="564" customWidth="1"/>
    <col min="15375" max="15375" width="1.42578125" style="564" customWidth="1"/>
    <col min="15376" max="15376" width="8" style="564" customWidth="1"/>
    <col min="15377" max="15377" width="1" style="564" customWidth="1"/>
    <col min="15378" max="15378" width="1.7109375" style="564" customWidth="1"/>
    <col min="15379" max="15379" width="1.85546875" style="564" customWidth="1"/>
    <col min="15380" max="15380" width="8" style="564" customWidth="1"/>
    <col min="15381" max="15381" width="1.5703125" style="564" customWidth="1"/>
    <col min="15382" max="15382" width="1.85546875" style="564" customWidth="1"/>
    <col min="15383" max="15383" width="1.140625" style="564" customWidth="1"/>
    <col min="15384" max="15384" width="8" style="564" customWidth="1"/>
    <col min="15385" max="15385" width="1.5703125" style="564" customWidth="1"/>
    <col min="15386" max="15386" width="1.85546875" style="564" customWidth="1"/>
    <col min="15387" max="15387" width="8" style="564" customWidth="1"/>
    <col min="15388" max="15388" width="4.140625" style="564" customWidth="1"/>
    <col min="15389" max="15389" width="2.7109375" style="564" customWidth="1"/>
    <col min="15390" max="15390" width="12.5703125" style="564" customWidth="1"/>
    <col min="15391" max="15391" width="1" style="564" customWidth="1"/>
    <col min="15392" max="15392" width="1.140625" style="564" customWidth="1"/>
    <col min="15393" max="15393" width="2.85546875" style="564" customWidth="1"/>
    <col min="15394" max="15394" width="9.85546875" style="564" customWidth="1"/>
    <col min="15395" max="15616" width="6.85546875" style="564" customWidth="1"/>
    <col min="15617" max="15617" width="2.28515625" style="564" customWidth="1"/>
    <col min="15618" max="15618" width="1.85546875" style="564" customWidth="1"/>
    <col min="15619" max="15619" width="18.7109375" style="564" customWidth="1"/>
    <col min="15620" max="15620" width="2" style="564" customWidth="1"/>
    <col min="15621" max="15621" width="9.42578125" style="564" customWidth="1"/>
    <col min="15622" max="15622" width="1.85546875" style="564" customWidth="1"/>
    <col min="15623" max="15623" width="1.28515625" style="564" customWidth="1"/>
    <col min="15624" max="15624" width="1.42578125" style="564" customWidth="1"/>
    <col min="15625" max="15625" width="10.28515625" style="564" customWidth="1"/>
    <col min="15626" max="15626" width="2" style="564" customWidth="1"/>
    <col min="15627" max="15627" width="1.42578125" style="564" customWidth="1"/>
    <col min="15628" max="15628" width="8.5703125" style="564" customWidth="1"/>
    <col min="15629" max="15630" width="1.28515625" style="564" customWidth="1"/>
    <col min="15631" max="15631" width="1.42578125" style="564" customWidth="1"/>
    <col min="15632" max="15632" width="8" style="564" customWidth="1"/>
    <col min="15633" max="15633" width="1" style="564" customWidth="1"/>
    <col min="15634" max="15634" width="1.7109375" style="564" customWidth="1"/>
    <col min="15635" max="15635" width="1.85546875" style="564" customWidth="1"/>
    <col min="15636" max="15636" width="8" style="564" customWidth="1"/>
    <col min="15637" max="15637" width="1.5703125" style="564" customWidth="1"/>
    <col min="15638" max="15638" width="1.85546875" style="564" customWidth="1"/>
    <col min="15639" max="15639" width="1.140625" style="564" customWidth="1"/>
    <col min="15640" max="15640" width="8" style="564" customWidth="1"/>
    <col min="15641" max="15641" width="1.5703125" style="564" customWidth="1"/>
    <col min="15642" max="15642" width="1.85546875" style="564" customWidth="1"/>
    <col min="15643" max="15643" width="8" style="564" customWidth="1"/>
    <col min="15644" max="15644" width="4.140625" style="564" customWidth="1"/>
    <col min="15645" max="15645" width="2.7109375" style="564" customWidth="1"/>
    <col min="15646" max="15646" width="12.5703125" style="564" customWidth="1"/>
    <col min="15647" max="15647" width="1" style="564" customWidth="1"/>
    <col min="15648" max="15648" width="1.140625" style="564" customWidth="1"/>
    <col min="15649" max="15649" width="2.85546875" style="564" customWidth="1"/>
    <col min="15650" max="15650" width="9.85546875" style="564" customWidth="1"/>
    <col min="15651" max="15872" width="6.85546875" style="564" customWidth="1"/>
    <col min="15873" max="15873" width="2.28515625" style="564" customWidth="1"/>
    <col min="15874" max="15874" width="1.85546875" style="564" customWidth="1"/>
    <col min="15875" max="15875" width="18.7109375" style="564" customWidth="1"/>
    <col min="15876" max="15876" width="2" style="564" customWidth="1"/>
    <col min="15877" max="15877" width="9.42578125" style="564" customWidth="1"/>
    <col min="15878" max="15878" width="1.85546875" style="564" customWidth="1"/>
    <col min="15879" max="15879" width="1.28515625" style="564" customWidth="1"/>
    <col min="15880" max="15880" width="1.42578125" style="564" customWidth="1"/>
    <col min="15881" max="15881" width="10.28515625" style="564" customWidth="1"/>
    <col min="15882" max="15882" width="2" style="564" customWidth="1"/>
    <col min="15883" max="15883" width="1.42578125" style="564" customWidth="1"/>
    <col min="15884" max="15884" width="8.5703125" style="564" customWidth="1"/>
    <col min="15885" max="15886" width="1.28515625" style="564" customWidth="1"/>
    <col min="15887" max="15887" width="1.42578125" style="564" customWidth="1"/>
    <col min="15888" max="15888" width="8" style="564" customWidth="1"/>
    <col min="15889" max="15889" width="1" style="564" customWidth="1"/>
    <col min="15890" max="15890" width="1.7109375" style="564" customWidth="1"/>
    <col min="15891" max="15891" width="1.85546875" style="564" customWidth="1"/>
    <col min="15892" max="15892" width="8" style="564" customWidth="1"/>
    <col min="15893" max="15893" width="1.5703125" style="564" customWidth="1"/>
    <col min="15894" max="15894" width="1.85546875" style="564" customWidth="1"/>
    <col min="15895" max="15895" width="1.140625" style="564" customWidth="1"/>
    <col min="15896" max="15896" width="8" style="564" customWidth="1"/>
    <col min="15897" max="15897" width="1.5703125" style="564" customWidth="1"/>
    <col min="15898" max="15898" width="1.85546875" style="564" customWidth="1"/>
    <col min="15899" max="15899" width="8" style="564" customWidth="1"/>
    <col min="15900" max="15900" width="4.140625" style="564" customWidth="1"/>
    <col min="15901" max="15901" width="2.7109375" style="564" customWidth="1"/>
    <col min="15902" max="15902" width="12.5703125" style="564" customWidth="1"/>
    <col min="15903" max="15903" width="1" style="564" customWidth="1"/>
    <col min="15904" max="15904" width="1.140625" style="564" customWidth="1"/>
    <col min="15905" max="15905" width="2.85546875" style="564" customWidth="1"/>
    <col min="15906" max="15906" width="9.85546875" style="564" customWidth="1"/>
    <col min="15907" max="16128" width="6.85546875" style="564" customWidth="1"/>
    <col min="16129" max="16129" width="2.28515625" style="564" customWidth="1"/>
    <col min="16130" max="16130" width="1.85546875" style="564" customWidth="1"/>
    <col min="16131" max="16131" width="18.7109375" style="564" customWidth="1"/>
    <col min="16132" max="16132" width="2" style="564" customWidth="1"/>
    <col min="16133" max="16133" width="9.42578125" style="564" customWidth="1"/>
    <col min="16134" max="16134" width="1.85546875" style="564" customWidth="1"/>
    <col min="16135" max="16135" width="1.28515625" style="564" customWidth="1"/>
    <col min="16136" max="16136" width="1.42578125" style="564" customWidth="1"/>
    <col min="16137" max="16137" width="10.28515625" style="564" customWidth="1"/>
    <col min="16138" max="16138" width="2" style="564" customWidth="1"/>
    <col min="16139" max="16139" width="1.42578125" style="564" customWidth="1"/>
    <col min="16140" max="16140" width="8.5703125" style="564" customWidth="1"/>
    <col min="16141" max="16142" width="1.28515625" style="564" customWidth="1"/>
    <col min="16143" max="16143" width="1.42578125" style="564" customWidth="1"/>
    <col min="16144" max="16144" width="8" style="564" customWidth="1"/>
    <col min="16145" max="16145" width="1" style="564" customWidth="1"/>
    <col min="16146" max="16146" width="1.7109375" style="564" customWidth="1"/>
    <col min="16147" max="16147" width="1.85546875" style="564" customWidth="1"/>
    <col min="16148" max="16148" width="8" style="564" customWidth="1"/>
    <col min="16149" max="16149" width="1.5703125" style="564" customWidth="1"/>
    <col min="16150" max="16150" width="1.85546875" style="564" customWidth="1"/>
    <col min="16151" max="16151" width="1.140625" style="564" customWidth="1"/>
    <col min="16152" max="16152" width="8" style="564" customWidth="1"/>
    <col min="16153" max="16153" width="1.5703125" style="564" customWidth="1"/>
    <col min="16154" max="16154" width="1.85546875" style="564" customWidth="1"/>
    <col min="16155" max="16155" width="8" style="564" customWidth="1"/>
    <col min="16156" max="16156" width="4.140625" style="564" customWidth="1"/>
    <col min="16157" max="16157" width="2.7109375" style="564" customWidth="1"/>
    <col min="16158" max="16158" width="12.5703125" style="564" customWidth="1"/>
    <col min="16159" max="16159" width="1" style="564" customWidth="1"/>
    <col min="16160" max="16160" width="1.140625" style="564" customWidth="1"/>
    <col min="16161" max="16161" width="2.85546875" style="564" customWidth="1"/>
    <col min="16162" max="16162" width="9.85546875" style="564" customWidth="1"/>
    <col min="16163" max="16384" width="6.85546875" style="564" customWidth="1"/>
  </cols>
  <sheetData>
    <row r="1" spans="1:34" ht="6" customHeight="1"/>
    <row r="2" spans="1:34" ht="18.75" customHeight="1">
      <c r="AB2" s="642" t="s">
        <v>885</v>
      </c>
      <c r="AC2" s="642"/>
      <c r="AD2" s="642"/>
      <c r="AE2" s="642"/>
      <c r="AF2" s="642"/>
      <c r="AG2" s="642"/>
    </row>
    <row r="3" spans="1:34" ht="24" customHeight="1">
      <c r="A3" s="643" t="s">
        <v>884</v>
      </c>
      <c r="B3" s="643"/>
      <c r="C3" s="643"/>
      <c r="D3" s="643"/>
      <c r="E3" s="643"/>
      <c r="F3" s="643"/>
      <c r="G3" s="643"/>
      <c r="H3" s="643"/>
      <c r="I3" s="643"/>
      <c r="J3" s="643"/>
      <c r="K3" s="643"/>
      <c r="L3" s="643"/>
      <c r="M3" s="643"/>
      <c r="N3" s="643"/>
      <c r="O3" s="643"/>
      <c r="P3" s="643"/>
      <c r="Q3" s="643"/>
      <c r="R3" s="643"/>
      <c r="S3" s="643"/>
      <c r="T3" s="643"/>
      <c r="U3" s="643"/>
      <c r="V3" s="643"/>
      <c r="W3" s="643"/>
      <c r="X3" s="643"/>
      <c r="Y3" s="643"/>
      <c r="Z3" s="643"/>
      <c r="AA3" s="643"/>
      <c r="AB3" s="643"/>
      <c r="AC3" s="643"/>
      <c r="AD3" s="643"/>
      <c r="AE3" s="643"/>
      <c r="AF3" s="643"/>
      <c r="AG3" s="643"/>
    </row>
    <row r="4" spans="1:34" ht="24" customHeight="1">
      <c r="A4" s="643" t="s">
        <v>886</v>
      </c>
      <c r="B4" s="643"/>
      <c r="C4" s="643"/>
      <c r="D4" s="643"/>
      <c r="E4" s="643"/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  <c r="X4" s="643"/>
      <c r="Y4" s="643"/>
      <c r="Z4" s="643"/>
      <c r="AA4" s="643"/>
      <c r="AB4" s="643"/>
      <c r="AC4" s="643"/>
      <c r="AD4" s="643"/>
      <c r="AE4" s="643"/>
      <c r="AF4" s="643"/>
      <c r="AG4" s="643"/>
    </row>
    <row r="5" spans="1:34" ht="24" customHeight="1">
      <c r="A5" s="643" t="s">
        <v>882</v>
      </c>
      <c r="B5" s="643"/>
      <c r="C5" s="643"/>
      <c r="D5" s="643"/>
      <c r="E5" s="643"/>
      <c r="F5" s="643"/>
      <c r="G5" s="643"/>
      <c r="H5" s="643"/>
      <c r="I5" s="643"/>
      <c r="J5" s="643"/>
      <c r="K5" s="643"/>
      <c r="L5" s="643"/>
      <c r="M5" s="643"/>
      <c r="N5" s="643"/>
      <c r="O5" s="643"/>
      <c r="P5" s="643"/>
      <c r="Q5" s="643"/>
      <c r="R5" s="643"/>
      <c r="S5" s="643"/>
      <c r="T5" s="643"/>
      <c r="U5" s="643"/>
      <c r="V5" s="643"/>
      <c r="W5" s="643"/>
      <c r="X5" s="643"/>
      <c r="Y5" s="643"/>
      <c r="Z5" s="643"/>
      <c r="AA5" s="643"/>
      <c r="AB5" s="643"/>
      <c r="AC5" s="643"/>
      <c r="AD5" s="643"/>
      <c r="AE5" s="643"/>
      <c r="AF5" s="643"/>
      <c r="AG5" s="643"/>
    </row>
    <row r="6" spans="1:34" ht="20.25" customHeight="1"/>
    <row r="7" spans="1:34" ht="12" customHeight="1">
      <c r="AA7" s="640" t="s">
        <v>887</v>
      </c>
      <c r="AB7" s="640"/>
      <c r="AD7" s="640" t="s">
        <v>888</v>
      </c>
      <c r="AG7" s="640" t="s">
        <v>889</v>
      </c>
      <c r="AH7" s="640"/>
    </row>
    <row r="8" spans="1:34" ht="6.75" customHeight="1">
      <c r="E8" s="640" t="s">
        <v>890</v>
      </c>
      <c r="I8" s="640" t="s">
        <v>891</v>
      </c>
      <c r="L8" s="640" t="s">
        <v>892</v>
      </c>
      <c r="P8" s="640" t="s">
        <v>878</v>
      </c>
      <c r="T8" s="641" t="s">
        <v>877</v>
      </c>
      <c r="X8" s="640" t="s">
        <v>876</v>
      </c>
      <c r="AA8" s="640"/>
      <c r="AB8" s="640"/>
      <c r="AD8" s="640"/>
      <c r="AG8" s="640"/>
      <c r="AH8" s="640"/>
    </row>
    <row r="9" spans="1:34" ht="5.25" customHeight="1">
      <c r="A9" s="640" t="s">
        <v>881</v>
      </c>
      <c r="B9" s="640"/>
      <c r="C9" s="640"/>
      <c r="E9" s="640"/>
      <c r="I9" s="640"/>
      <c r="L9" s="640"/>
      <c r="P9" s="640"/>
      <c r="T9" s="641"/>
      <c r="X9" s="640"/>
      <c r="AA9" s="640"/>
      <c r="AB9" s="640"/>
      <c r="AD9" s="640"/>
      <c r="AG9" s="640"/>
      <c r="AH9" s="640"/>
    </row>
    <row r="10" spans="1:34" ht="9.75" customHeight="1">
      <c r="A10" s="640"/>
      <c r="B10" s="640"/>
      <c r="C10" s="640"/>
      <c r="E10" s="640"/>
      <c r="I10" s="640"/>
      <c r="L10" s="640"/>
      <c r="P10" s="640"/>
      <c r="T10" s="641"/>
      <c r="X10" s="640"/>
      <c r="AA10" s="640"/>
      <c r="AB10" s="640"/>
      <c r="AD10" s="640"/>
      <c r="AG10" s="640"/>
      <c r="AH10" s="640"/>
    </row>
    <row r="11" spans="1:34" ht="6.75" customHeight="1">
      <c r="A11" s="640"/>
      <c r="B11" s="640"/>
      <c r="C11" s="640"/>
      <c r="E11" s="640"/>
      <c r="I11" s="640"/>
      <c r="P11" s="640"/>
      <c r="X11" s="640"/>
      <c r="AA11" s="640"/>
      <c r="AB11" s="640"/>
      <c r="AD11" s="640"/>
    </row>
    <row r="12" spans="1:34" ht="6.75" customHeight="1">
      <c r="P12" s="640"/>
      <c r="X12" s="640"/>
    </row>
    <row r="13" spans="1:34" ht="13.5" customHeight="1">
      <c r="A13" s="636" t="s">
        <v>893</v>
      </c>
      <c r="B13" s="636"/>
      <c r="C13" s="636"/>
      <c r="E13" s="635">
        <v>137371000</v>
      </c>
      <c r="F13" s="635"/>
      <c r="G13" s="635"/>
      <c r="H13" s="635">
        <v>118292000</v>
      </c>
      <c r="I13" s="635"/>
      <c r="K13" s="635">
        <v>116536983</v>
      </c>
      <c r="L13" s="635"/>
      <c r="M13" s="635"/>
      <c r="O13" s="635">
        <v>116204190</v>
      </c>
      <c r="P13" s="635"/>
      <c r="Q13" s="635"/>
      <c r="W13" s="635">
        <v>99835</v>
      </c>
      <c r="X13" s="635"/>
      <c r="Y13" s="635"/>
      <c r="AA13" s="635">
        <v>21166810</v>
      </c>
      <c r="AB13" s="635"/>
      <c r="AD13" s="635">
        <v>21166810</v>
      </c>
      <c r="AE13" s="635"/>
      <c r="AG13" s="635">
        <v>21066975</v>
      </c>
      <c r="AH13" s="635"/>
    </row>
    <row r="14" spans="1:34" ht="13.5" customHeight="1">
      <c r="B14" s="636" t="s">
        <v>894</v>
      </c>
      <c r="C14" s="636"/>
      <c r="E14" s="635">
        <v>137171000</v>
      </c>
      <c r="F14" s="635"/>
      <c r="G14" s="635"/>
      <c r="H14" s="635">
        <v>118142000</v>
      </c>
      <c r="I14" s="635"/>
      <c r="K14" s="635">
        <v>116408735</v>
      </c>
      <c r="L14" s="635"/>
      <c r="M14" s="635"/>
      <c r="O14" s="635">
        <v>116075942</v>
      </c>
      <c r="P14" s="635"/>
      <c r="Q14" s="635"/>
      <c r="W14" s="635">
        <v>99835</v>
      </c>
      <c r="X14" s="635"/>
      <c r="Y14" s="635"/>
      <c r="AA14" s="635">
        <v>21095058</v>
      </c>
      <c r="AB14" s="635"/>
      <c r="AD14" s="635">
        <v>21095058</v>
      </c>
      <c r="AE14" s="635"/>
      <c r="AG14" s="635">
        <v>20995223</v>
      </c>
      <c r="AH14" s="635"/>
    </row>
    <row r="15" spans="1:34" ht="13.5" customHeight="1">
      <c r="B15" s="636" t="s">
        <v>895</v>
      </c>
      <c r="C15" s="636"/>
      <c r="E15" s="635">
        <v>137171000</v>
      </c>
      <c r="F15" s="635"/>
      <c r="G15" s="635"/>
      <c r="H15" s="635">
        <v>118142000</v>
      </c>
      <c r="I15" s="635"/>
      <c r="K15" s="635">
        <v>116408735</v>
      </c>
      <c r="L15" s="635"/>
      <c r="M15" s="635"/>
      <c r="O15" s="635">
        <v>116075942</v>
      </c>
      <c r="P15" s="635"/>
      <c r="Q15" s="635"/>
      <c r="S15" s="604" t="s">
        <v>939</v>
      </c>
      <c r="W15" s="635">
        <v>99835</v>
      </c>
      <c r="X15" s="635"/>
      <c r="Y15" s="635"/>
      <c r="AA15" s="635">
        <v>21095058</v>
      </c>
      <c r="AB15" s="635"/>
      <c r="AD15" s="635">
        <v>21095058</v>
      </c>
      <c r="AE15" s="635"/>
      <c r="AG15" s="635">
        <v>20995223</v>
      </c>
      <c r="AH15" s="635"/>
    </row>
    <row r="16" spans="1:34" ht="13.5" customHeight="1">
      <c r="C16" s="580" t="s">
        <v>896</v>
      </c>
      <c r="E16" s="634">
        <v>88599000</v>
      </c>
      <c r="F16" s="634"/>
      <c r="G16" s="634"/>
      <c r="K16" s="634">
        <v>73541798</v>
      </c>
      <c r="L16" s="634"/>
      <c r="M16" s="634"/>
      <c r="O16" s="634">
        <v>73321573</v>
      </c>
      <c r="P16" s="634"/>
      <c r="Q16" s="634"/>
      <c r="W16" s="634">
        <v>0</v>
      </c>
      <c r="X16" s="634"/>
      <c r="Y16" s="634"/>
      <c r="AA16" s="634">
        <v>15277427</v>
      </c>
      <c r="AB16" s="634"/>
      <c r="AD16" s="634">
        <v>15277427</v>
      </c>
      <c r="AE16" s="634"/>
      <c r="AG16" s="634">
        <v>15277427</v>
      </c>
      <c r="AH16" s="634"/>
    </row>
    <row r="17" spans="3:34" ht="5.25" customHeight="1"/>
    <row r="18" spans="3:34" ht="13.5" customHeight="1">
      <c r="C18" s="580" t="s">
        <v>897</v>
      </c>
      <c r="E18" s="634">
        <v>882000</v>
      </c>
      <c r="F18" s="634"/>
      <c r="G18" s="634"/>
      <c r="K18" s="634">
        <v>757800</v>
      </c>
      <c r="L18" s="634"/>
      <c r="M18" s="634"/>
      <c r="O18" s="634">
        <v>757800</v>
      </c>
      <c r="P18" s="634"/>
      <c r="Q18" s="634"/>
      <c r="W18" s="634">
        <v>0</v>
      </c>
      <c r="X18" s="634"/>
      <c r="Y18" s="634"/>
      <c r="AA18" s="634">
        <v>124200</v>
      </c>
      <c r="AB18" s="634"/>
      <c r="AD18" s="634">
        <v>124200</v>
      </c>
      <c r="AE18" s="634"/>
      <c r="AG18" s="634">
        <v>124200</v>
      </c>
      <c r="AH18" s="634"/>
    </row>
    <row r="19" spans="3:34" ht="5.25" customHeight="1"/>
    <row r="20" spans="3:34" ht="13.5" customHeight="1">
      <c r="C20" s="580" t="s">
        <v>898</v>
      </c>
      <c r="E20" s="634">
        <v>869000</v>
      </c>
      <c r="F20" s="634"/>
      <c r="G20" s="634"/>
      <c r="K20" s="634">
        <v>1524002</v>
      </c>
      <c r="L20" s="634"/>
      <c r="M20" s="634"/>
      <c r="O20" s="634">
        <v>1524002</v>
      </c>
      <c r="P20" s="634"/>
      <c r="Q20" s="634"/>
      <c r="W20" s="634">
        <v>0</v>
      </c>
      <c r="X20" s="634"/>
      <c r="Y20" s="634"/>
      <c r="AA20" s="634">
        <v>-655002</v>
      </c>
      <c r="AB20" s="634"/>
      <c r="AD20" s="634">
        <v>-655002</v>
      </c>
      <c r="AE20" s="634"/>
      <c r="AG20" s="634">
        <v>-655002</v>
      </c>
      <c r="AH20" s="634"/>
    </row>
    <row r="21" spans="3:34" ht="5.25" customHeight="1"/>
    <row r="22" spans="3:34" ht="13.5" customHeight="1">
      <c r="C22" s="580" t="s">
        <v>899</v>
      </c>
      <c r="E22" s="634">
        <v>20000</v>
      </c>
      <c r="F22" s="634"/>
      <c r="G22" s="634"/>
      <c r="W22" s="634">
        <v>0</v>
      </c>
      <c r="X22" s="634"/>
      <c r="Y22" s="634"/>
      <c r="AA22" s="634">
        <v>20000</v>
      </c>
      <c r="AB22" s="634"/>
      <c r="AD22" s="634">
        <v>20000</v>
      </c>
      <c r="AE22" s="634"/>
      <c r="AG22" s="634">
        <v>20000</v>
      </c>
      <c r="AH22" s="634"/>
    </row>
    <row r="23" spans="3:34" ht="5.25" customHeight="1"/>
    <row r="24" spans="3:34" ht="13.5" customHeight="1">
      <c r="C24" s="580" t="s">
        <v>900</v>
      </c>
      <c r="E24" s="634">
        <v>1401000</v>
      </c>
      <c r="F24" s="634"/>
      <c r="G24" s="634"/>
      <c r="K24" s="634">
        <v>1103048</v>
      </c>
      <c r="L24" s="634"/>
      <c r="M24" s="634"/>
      <c r="O24" s="634">
        <v>1103048</v>
      </c>
      <c r="P24" s="634"/>
      <c r="Q24" s="634"/>
      <c r="W24" s="634">
        <v>0</v>
      </c>
      <c r="X24" s="634"/>
      <c r="Y24" s="634"/>
      <c r="AA24" s="634">
        <v>297952</v>
      </c>
      <c r="AB24" s="634"/>
      <c r="AD24" s="634">
        <v>297952</v>
      </c>
      <c r="AE24" s="634"/>
      <c r="AG24" s="634">
        <v>297952</v>
      </c>
      <c r="AH24" s="634"/>
    </row>
    <row r="25" spans="3:34" ht="5.25" customHeight="1"/>
    <row r="26" spans="3:34" ht="13.5" customHeight="1">
      <c r="C26" s="580" t="s">
        <v>901</v>
      </c>
      <c r="E26" s="634">
        <v>11884000</v>
      </c>
      <c r="F26" s="634"/>
      <c r="G26" s="634"/>
      <c r="K26" s="634">
        <v>11685265</v>
      </c>
      <c r="L26" s="634"/>
      <c r="M26" s="634"/>
      <c r="O26" s="634">
        <v>11685265</v>
      </c>
      <c r="P26" s="634"/>
      <c r="Q26" s="634"/>
      <c r="W26" s="634">
        <v>0</v>
      </c>
      <c r="X26" s="634"/>
      <c r="Y26" s="634"/>
      <c r="AA26" s="634">
        <v>198735</v>
      </c>
      <c r="AB26" s="634"/>
      <c r="AD26" s="634">
        <v>198735</v>
      </c>
      <c r="AE26" s="634"/>
      <c r="AG26" s="634">
        <v>198735</v>
      </c>
      <c r="AH26" s="634"/>
    </row>
    <row r="27" spans="3:34" ht="5.25" customHeight="1"/>
    <row r="28" spans="3:34" ht="13.5" customHeight="1">
      <c r="C28" s="580" t="s">
        <v>902</v>
      </c>
      <c r="E28" s="634">
        <v>10758000</v>
      </c>
      <c r="F28" s="634"/>
      <c r="G28" s="634"/>
      <c r="K28" s="634">
        <v>10517556</v>
      </c>
      <c r="L28" s="634"/>
      <c r="M28" s="634"/>
      <c r="O28" s="634">
        <v>10517556</v>
      </c>
      <c r="P28" s="634"/>
      <c r="Q28" s="634"/>
      <c r="W28" s="634">
        <v>0</v>
      </c>
      <c r="X28" s="634"/>
      <c r="Y28" s="634"/>
      <c r="AA28" s="634">
        <v>240444</v>
      </c>
      <c r="AB28" s="634"/>
      <c r="AD28" s="634">
        <v>240444</v>
      </c>
      <c r="AE28" s="634"/>
      <c r="AG28" s="634">
        <v>240444</v>
      </c>
      <c r="AH28" s="634"/>
    </row>
    <row r="29" spans="3:34" ht="5.25" customHeight="1"/>
    <row r="30" spans="3:34" ht="13.5" customHeight="1">
      <c r="C30" s="580" t="s">
        <v>903</v>
      </c>
      <c r="E30" s="634">
        <v>9314000</v>
      </c>
      <c r="F30" s="634"/>
      <c r="G30" s="634"/>
      <c r="K30" s="634">
        <v>7753123</v>
      </c>
      <c r="L30" s="634"/>
      <c r="M30" s="634"/>
      <c r="O30" s="634">
        <v>7753123</v>
      </c>
      <c r="P30" s="634"/>
      <c r="Q30" s="634"/>
      <c r="W30" s="634">
        <v>0</v>
      </c>
      <c r="X30" s="634"/>
      <c r="Y30" s="634"/>
      <c r="AA30" s="634">
        <v>1560877</v>
      </c>
      <c r="AB30" s="634"/>
      <c r="AD30" s="634">
        <v>1560877</v>
      </c>
      <c r="AE30" s="634"/>
      <c r="AG30" s="634">
        <v>1560877</v>
      </c>
      <c r="AH30" s="634"/>
    </row>
    <row r="31" spans="3:34" ht="5.25" customHeight="1"/>
    <row r="32" spans="3:34" ht="13.5" customHeight="1">
      <c r="C32" s="580" t="s">
        <v>904</v>
      </c>
      <c r="E32" s="634">
        <v>8703000</v>
      </c>
      <c r="F32" s="634"/>
      <c r="G32" s="634"/>
      <c r="K32" s="634">
        <v>6066070</v>
      </c>
      <c r="L32" s="634"/>
      <c r="M32" s="634"/>
      <c r="O32" s="634">
        <v>6060295</v>
      </c>
      <c r="P32" s="634"/>
      <c r="Q32" s="634"/>
      <c r="W32" s="634">
        <v>1042</v>
      </c>
      <c r="X32" s="634"/>
      <c r="Y32" s="634"/>
      <c r="AA32" s="634">
        <v>2642705</v>
      </c>
      <c r="AB32" s="634"/>
      <c r="AD32" s="634">
        <v>2642705</v>
      </c>
      <c r="AE32" s="634"/>
      <c r="AG32" s="634">
        <v>2641663</v>
      </c>
      <c r="AH32" s="634"/>
    </row>
    <row r="33" spans="3:35" ht="5.25" customHeight="1"/>
    <row r="34" spans="3:35" ht="13.5" customHeight="1">
      <c r="C34" s="580" t="s">
        <v>905</v>
      </c>
      <c r="E34" s="634">
        <v>384000</v>
      </c>
      <c r="F34" s="634"/>
      <c r="G34" s="634"/>
      <c r="K34" s="634">
        <v>358400</v>
      </c>
      <c r="L34" s="634"/>
      <c r="M34" s="634"/>
      <c r="O34" s="634">
        <v>350400</v>
      </c>
      <c r="P34" s="634"/>
      <c r="Q34" s="634"/>
      <c r="S34" s="598"/>
      <c r="W34" s="634">
        <v>0</v>
      </c>
      <c r="X34" s="634"/>
      <c r="Y34" s="634"/>
      <c r="AA34" s="634">
        <v>33600</v>
      </c>
      <c r="AB34" s="634"/>
      <c r="AD34" s="634">
        <v>33600</v>
      </c>
      <c r="AE34" s="634"/>
      <c r="AG34" s="634">
        <v>33600</v>
      </c>
      <c r="AH34" s="634"/>
      <c r="AI34" s="597"/>
    </row>
    <row r="35" spans="3:35" ht="5.25" customHeight="1"/>
    <row r="36" spans="3:35" ht="13.5" customHeight="1">
      <c r="C36" s="580" t="s">
        <v>906</v>
      </c>
      <c r="E36" s="634">
        <v>1054000</v>
      </c>
      <c r="F36" s="634"/>
      <c r="G36" s="634"/>
      <c r="K36" s="634">
        <v>690451</v>
      </c>
      <c r="L36" s="634"/>
      <c r="M36" s="634"/>
      <c r="O36" s="634">
        <v>690451</v>
      </c>
      <c r="P36" s="634"/>
      <c r="Q36" s="634"/>
      <c r="S36" s="599">
        <f>IF(T36=0,0,ROUNDUP(O36/T36*(12-T36),-3))</f>
        <v>231000</v>
      </c>
      <c r="T36" s="583">
        <v>9</v>
      </c>
      <c r="W36" s="634">
        <v>0</v>
      </c>
      <c r="X36" s="634"/>
      <c r="Y36" s="634"/>
      <c r="AA36" s="634">
        <v>363549</v>
      </c>
      <c r="AB36" s="634"/>
      <c r="AD36" s="634">
        <v>363549</v>
      </c>
      <c r="AE36" s="634"/>
      <c r="AG36" s="634">
        <v>363549</v>
      </c>
      <c r="AH36" s="634"/>
    </row>
    <row r="37" spans="3:35" ht="5.25" customHeight="1">
      <c r="S37" s="599">
        <f t="shared" ref="S37:S100" si="0">IF(T37=0,0,ROUNDUP(O37/T37*(12-T37),-3))</f>
        <v>0</v>
      </c>
    </row>
    <row r="38" spans="3:35" ht="13.5" customHeight="1">
      <c r="C38" s="580" t="s">
        <v>907</v>
      </c>
      <c r="E38" s="634">
        <v>70000</v>
      </c>
      <c r="F38" s="634"/>
      <c r="G38" s="634"/>
      <c r="K38" s="634">
        <v>32407</v>
      </c>
      <c r="L38" s="634"/>
      <c r="M38" s="634"/>
      <c r="O38" s="634">
        <v>32407</v>
      </c>
      <c r="P38" s="634"/>
      <c r="Q38" s="634"/>
      <c r="S38" s="599">
        <f t="shared" si="0"/>
        <v>11000</v>
      </c>
      <c r="T38" s="583">
        <v>9</v>
      </c>
      <c r="W38" s="634">
        <v>0</v>
      </c>
      <c r="X38" s="634"/>
      <c r="Y38" s="634"/>
      <c r="AA38" s="634">
        <v>37593</v>
      </c>
      <c r="AB38" s="634"/>
      <c r="AD38" s="634">
        <v>37593</v>
      </c>
      <c r="AE38" s="634"/>
      <c r="AG38" s="634">
        <v>37593</v>
      </c>
      <c r="AH38" s="634"/>
    </row>
    <row r="39" spans="3:35" ht="5.25" customHeight="1">
      <c r="S39" s="599">
        <f t="shared" si="0"/>
        <v>0</v>
      </c>
    </row>
    <row r="40" spans="3:35" ht="13.5" customHeight="1">
      <c r="C40" s="580" t="s">
        <v>908</v>
      </c>
      <c r="E40" s="634">
        <v>10000</v>
      </c>
      <c r="F40" s="634"/>
      <c r="G40" s="634"/>
      <c r="K40" s="634">
        <v>13843</v>
      </c>
      <c r="L40" s="634"/>
      <c r="M40" s="634"/>
      <c r="O40" s="634">
        <v>11875</v>
      </c>
      <c r="P40" s="634"/>
      <c r="Q40" s="634"/>
      <c r="S40" s="599">
        <f t="shared" si="0"/>
        <v>4000</v>
      </c>
      <c r="T40" s="583">
        <v>9</v>
      </c>
      <c r="W40" s="634">
        <v>1968</v>
      </c>
      <c r="X40" s="634"/>
      <c r="Y40" s="634"/>
      <c r="AA40" s="634">
        <v>-1875</v>
      </c>
      <c r="AB40" s="634"/>
      <c r="AD40" s="634">
        <v>-1875</v>
      </c>
      <c r="AE40" s="634"/>
      <c r="AG40" s="634">
        <v>-3843</v>
      </c>
      <c r="AH40" s="634"/>
    </row>
    <row r="41" spans="3:35" ht="5.25" customHeight="1">
      <c r="S41" s="599">
        <f t="shared" si="0"/>
        <v>0</v>
      </c>
    </row>
    <row r="42" spans="3:35" ht="13.5" customHeight="1">
      <c r="C42" s="580" t="s">
        <v>909</v>
      </c>
      <c r="E42" s="634">
        <v>60000</v>
      </c>
      <c r="F42" s="634"/>
      <c r="G42" s="634"/>
      <c r="K42" s="634">
        <v>44534</v>
      </c>
      <c r="L42" s="634"/>
      <c r="M42" s="634"/>
      <c r="O42" s="634">
        <v>41087</v>
      </c>
      <c r="P42" s="634"/>
      <c r="Q42" s="634"/>
      <c r="S42" s="599">
        <f t="shared" si="0"/>
        <v>21000</v>
      </c>
      <c r="T42" s="583">
        <v>8</v>
      </c>
      <c r="W42" s="634">
        <v>3447</v>
      </c>
      <c r="X42" s="634"/>
      <c r="Y42" s="634"/>
      <c r="AA42" s="634">
        <v>18913</v>
      </c>
      <c r="AB42" s="634"/>
      <c r="AD42" s="634">
        <v>18913</v>
      </c>
      <c r="AE42" s="634"/>
      <c r="AG42" s="634">
        <v>15466</v>
      </c>
      <c r="AH42" s="634"/>
    </row>
    <row r="43" spans="3:35" ht="5.25" customHeight="1">
      <c r="S43" s="599">
        <f t="shared" si="0"/>
        <v>0</v>
      </c>
    </row>
    <row r="44" spans="3:35" ht="13.5" customHeight="1">
      <c r="C44" s="580" t="s">
        <v>910</v>
      </c>
      <c r="K44" s="634">
        <v>7596</v>
      </c>
      <c r="L44" s="634"/>
      <c r="M44" s="634"/>
      <c r="O44" s="634">
        <v>5697</v>
      </c>
      <c r="P44" s="634"/>
      <c r="Q44" s="634"/>
      <c r="S44" s="599">
        <f t="shared" si="0"/>
        <v>18000</v>
      </c>
      <c r="T44" s="583">
        <v>3</v>
      </c>
      <c r="W44" s="634">
        <v>1899</v>
      </c>
      <c r="X44" s="634"/>
      <c r="Y44" s="634"/>
      <c r="AA44" s="634">
        <v>-5697</v>
      </c>
      <c r="AB44" s="634"/>
      <c r="AD44" s="634">
        <v>-5697</v>
      </c>
      <c r="AE44" s="634"/>
      <c r="AG44" s="634">
        <v>-7596</v>
      </c>
      <c r="AH44" s="634"/>
    </row>
    <row r="45" spans="3:35" ht="5.25" customHeight="1">
      <c r="S45" s="599">
        <f t="shared" si="0"/>
        <v>0</v>
      </c>
    </row>
    <row r="46" spans="3:35" ht="13.5" customHeight="1">
      <c r="C46" s="580" t="s">
        <v>911</v>
      </c>
      <c r="E46" s="634">
        <v>75000</v>
      </c>
      <c r="F46" s="634"/>
      <c r="G46" s="634"/>
      <c r="K46" s="634">
        <v>19293</v>
      </c>
      <c r="L46" s="634"/>
      <c r="M46" s="634"/>
      <c r="O46" s="634">
        <v>18813</v>
      </c>
      <c r="P46" s="634"/>
      <c r="Q46" s="634"/>
      <c r="S46" s="599">
        <f t="shared" si="0"/>
        <v>10000</v>
      </c>
      <c r="T46" s="583">
        <v>8</v>
      </c>
      <c r="W46" s="634">
        <v>480</v>
      </c>
      <c r="X46" s="634"/>
      <c r="Y46" s="634"/>
      <c r="AA46" s="634">
        <v>56187</v>
      </c>
      <c r="AB46" s="634"/>
      <c r="AD46" s="634">
        <v>56187</v>
      </c>
      <c r="AE46" s="634"/>
      <c r="AG46" s="634">
        <v>55707</v>
      </c>
      <c r="AH46" s="634"/>
    </row>
    <row r="47" spans="3:35" ht="5.25" customHeight="1">
      <c r="S47" s="599">
        <f t="shared" si="0"/>
        <v>0</v>
      </c>
    </row>
    <row r="48" spans="3:35" ht="13.5" customHeight="1">
      <c r="C48" s="580" t="s">
        <v>912</v>
      </c>
      <c r="E48" s="634">
        <v>10000</v>
      </c>
      <c r="F48" s="634"/>
      <c r="G48" s="634"/>
      <c r="S48" s="599">
        <f t="shared" si="0"/>
        <v>0</v>
      </c>
      <c r="T48" s="583">
        <v>0</v>
      </c>
      <c r="W48" s="634">
        <v>0</v>
      </c>
      <c r="X48" s="634"/>
      <c r="Y48" s="634"/>
      <c r="AA48" s="634">
        <v>10000</v>
      </c>
      <c r="AB48" s="634"/>
      <c r="AD48" s="634">
        <v>10000</v>
      </c>
      <c r="AE48" s="634"/>
      <c r="AG48" s="634">
        <v>10000</v>
      </c>
      <c r="AH48" s="634"/>
    </row>
    <row r="49" spans="3:34" ht="5.25" customHeight="1">
      <c r="S49" s="599">
        <f t="shared" si="0"/>
        <v>0</v>
      </c>
    </row>
    <row r="50" spans="3:34" ht="13.5" customHeight="1">
      <c r="C50" s="580" t="s">
        <v>913</v>
      </c>
      <c r="E50" s="634">
        <v>30000</v>
      </c>
      <c r="F50" s="634"/>
      <c r="G50" s="634"/>
      <c r="K50" s="634">
        <v>26600</v>
      </c>
      <c r="L50" s="634"/>
      <c r="M50" s="634"/>
      <c r="O50" s="634">
        <v>26600</v>
      </c>
      <c r="P50" s="634"/>
      <c r="Q50" s="634"/>
      <c r="S50" s="599">
        <f t="shared" si="0"/>
        <v>27000</v>
      </c>
      <c r="T50" s="583">
        <v>6</v>
      </c>
      <c r="W50" s="634">
        <v>0</v>
      </c>
      <c r="X50" s="634"/>
      <c r="Y50" s="634"/>
      <c r="AA50" s="634">
        <v>3400</v>
      </c>
      <c r="AB50" s="634"/>
      <c r="AD50" s="634">
        <v>3400</v>
      </c>
      <c r="AE50" s="634"/>
      <c r="AG50" s="634">
        <v>3400</v>
      </c>
      <c r="AH50" s="634"/>
    </row>
    <row r="51" spans="3:34" ht="5.25" customHeight="1">
      <c r="S51" s="599">
        <f t="shared" si="0"/>
        <v>0</v>
      </c>
    </row>
    <row r="52" spans="3:34" ht="13.5" customHeight="1">
      <c r="C52" s="580" t="s">
        <v>914</v>
      </c>
      <c r="E52" s="634">
        <v>30000</v>
      </c>
      <c r="F52" s="634"/>
      <c r="G52" s="634"/>
      <c r="S52" s="599">
        <f t="shared" si="0"/>
        <v>0</v>
      </c>
      <c r="T52" s="583">
        <v>0</v>
      </c>
      <c r="W52" s="634">
        <v>0</v>
      </c>
      <c r="X52" s="634"/>
      <c r="Y52" s="634"/>
      <c r="AA52" s="634">
        <v>30000</v>
      </c>
      <c r="AB52" s="634"/>
      <c r="AD52" s="634">
        <v>30000</v>
      </c>
      <c r="AE52" s="634"/>
      <c r="AG52" s="634">
        <v>30000</v>
      </c>
      <c r="AH52" s="634"/>
    </row>
    <row r="53" spans="3:34" ht="5.25" customHeight="1">
      <c r="S53" s="599">
        <f t="shared" si="0"/>
        <v>0</v>
      </c>
    </row>
    <row r="54" spans="3:34" ht="13.5" customHeight="1">
      <c r="C54" s="580" t="s">
        <v>915</v>
      </c>
      <c r="E54" s="634">
        <v>170000</v>
      </c>
      <c r="F54" s="634"/>
      <c r="G54" s="634"/>
      <c r="K54" s="634">
        <v>85943</v>
      </c>
      <c r="L54" s="634"/>
      <c r="M54" s="634"/>
      <c r="O54" s="634">
        <v>85943</v>
      </c>
      <c r="P54" s="634"/>
      <c r="Q54" s="634"/>
      <c r="S54" s="599">
        <f t="shared" si="0"/>
        <v>29000</v>
      </c>
      <c r="T54" s="583">
        <v>9</v>
      </c>
      <c r="W54" s="634">
        <v>0</v>
      </c>
      <c r="X54" s="634"/>
      <c r="Y54" s="634"/>
      <c r="AA54" s="634">
        <v>84057</v>
      </c>
      <c r="AB54" s="634"/>
      <c r="AD54" s="634">
        <v>84057</v>
      </c>
      <c r="AE54" s="634"/>
      <c r="AG54" s="634">
        <v>84057</v>
      </c>
      <c r="AH54" s="634"/>
    </row>
    <row r="55" spans="3:34" ht="5.25" customHeight="1">
      <c r="S55" s="599">
        <f t="shared" si="0"/>
        <v>0</v>
      </c>
    </row>
    <row r="56" spans="3:34" ht="13.5" customHeight="1">
      <c r="C56" s="580" t="s">
        <v>916</v>
      </c>
      <c r="E56" s="634">
        <v>172000</v>
      </c>
      <c r="F56" s="634"/>
      <c r="G56" s="634"/>
      <c r="K56" s="634">
        <v>116465</v>
      </c>
      <c r="L56" s="634"/>
      <c r="M56" s="634"/>
      <c r="O56" s="634">
        <v>91942</v>
      </c>
      <c r="P56" s="634"/>
      <c r="Q56" s="634"/>
      <c r="S56" s="599">
        <f t="shared" si="0"/>
        <v>31000</v>
      </c>
      <c r="T56" s="583">
        <v>9</v>
      </c>
      <c r="W56" s="634">
        <v>24523</v>
      </c>
      <c r="X56" s="634"/>
      <c r="Y56" s="634"/>
      <c r="AA56" s="634">
        <v>80058</v>
      </c>
      <c r="AB56" s="634"/>
      <c r="AD56" s="634">
        <v>80058</v>
      </c>
      <c r="AE56" s="634"/>
      <c r="AG56" s="634">
        <v>55535</v>
      </c>
      <c r="AH56" s="634"/>
    </row>
    <row r="57" spans="3:34" ht="5.25" customHeight="1">
      <c r="S57" s="599">
        <f t="shared" si="0"/>
        <v>0</v>
      </c>
    </row>
    <row r="58" spans="3:34" ht="12" customHeight="1">
      <c r="C58" s="638" t="s">
        <v>917</v>
      </c>
      <c r="E58" s="634">
        <v>30000</v>
      </c>
      <c r="F58" s="634"/>
      <c r="G58" s="634"/>
      <c r="K58" s="634">
        <v>8178</v>
      </c>
      <c r="L58" s="634"/>
      <c r="M58" s="634"/>
      <c r="O58" s="634">
        <v>8178</v>
      </c>
      <c r="P58" s="634"/>
      <c r="Q58" s="634"/>
      <c r="S58" s="599">
        <f t="shared" si="0"/>
        <v>3000</v>
      </c>
      <c r="T58" s="583">
        <v>9</v>
      </c>
      <c r="W58" s="634">
        <v>0</v>
      </c>
      <c r="X58" s="634"/>
      <c r="Y58" s="634"/>
      <c r="AA58" s="634">
        <v>21822</v>
      </c>
      <c r="AB58" s="634"/>
      <c r="AD58" s="634">
        <v>21822</v>
      </c>
      <c r="AE58" s="634"/>
      <c r="AG58" s="634">
        <v>21822</v>
      </c>
      <c r="AH58" s="634"/>
    </row>
    <row r="59" spans="3:34" ht="11.25" customHeight="1">
      <c r="C59" s="638"/>
      <c r="S59" s="599">
        <f t="shared" si="0"/>
        <v>0</v>
      </c>
    </row>
    <row r="60" spans="3:34" ht="13.5" customHeight="1">
      <c r="C60" s="580" t="s">
        <v>918</v>
      </c>
      <c r="E60" s="634">
        <v>104000</v>
      </c>
      <c r="F60" s="634"/>
      <c r="G60" s="634"/>
      <c r="K60" s="634">
        <v>134040</v>
      </c>
      <c r="L60" s="634"/>
      <c r="M60" s="634"/>
      <c r="O60" s="634">
        <v>105990</v>
      </c>
      <c r="P60" s="634"/>
      <c r="Q60" s="634"/>
      <c r="S60" s="599">
        <f t="shared" si="0"/>
        <v>36000</v>
      </c>
      <c r="T60" s="583">
        <v>9</v>
      </c>
      <c r="W60" s="634">
        <v>28050</v>
      </c>
      <c r="X60" s="634"/>
      <c r="Y60" s="634"/>
      <c r="AA60" s="634">
        <v>-1990</v>
      </c>
      <c r="AB60" s="634"/>
      <c r="AD60" s="634">
        <v>-1990</v>
      </c>
      <c r="AE60" s="634"/>
      <c r="AG60" s="634">
        <v>-30040</v>
      </c>
      <c r="AH60" s="634"/>
    </row>
    <row r="61" spans="3:34" ht="5.25" customHeight="1">
      <c r="S61" s="599">
        <f t="shared" si="0"/>
        <v>0</v>
      </c>
    </row>
    <row r="62" spans="3:34" ht="12" customHeight="1">
      <c r="C62" s="638" t="s">
        <v>919</v>
      </c>
      <c r="E62" s="634">
        <v>1000</v>
      </c>
      <c r="F62" s="634"/>
      <c r="G62" s="634"/>
      <c r="K62" s="634">
        <v>330</v>
      </c>
      <c r="L62" s="634"/>
      <c r="M62" s="634"/>
      <c r="O62" s="634">
        <v>330</v>
      </c>
      <c r="P62" s="634"/>
      <c r="Q62" s="634"/>
      <c r="S62" s="599">
        <f t="shared" si="0"/>
        <v>1000</v>
      </c>
      <c r="T62" s="583">
        <v>9</v>
      </c>
      <c r="W62" s="634">
        <v>0</v>
      </c>
      <c r="X62" s="634"/>
      <c r="Y62" s="634"/>
      <c r="AA62" s="634">
        <v>670</v>
      </c>
      <c r="AB62" s="634"/>
      <c r="AD62" s="634">
        <v>670</v>
      </c>
      <c r="AE62" s="634"/>
      <c r="AG62" s="634">
        <v>670</v>
      </c>
      <c r="AH62" s="634"/>
    </row>
    <row r="63" spans="3:34" ht="11.25" customHeight="1">
      <c r="C63" s="638"/>
      <c r="S63" s="599">
        <f t="shared" si="0"/>
        <v>0</v>
      </c>
    </row>
    <row r="64" spans="3:34" ht="13.5" customHeight="1">
      <c r="C64" s="580" t="s">
        <v>920</v>
      </c>
      <c r="E64" s="634">
        <v>1074000</v>
      </c>
      <c r="F64" s="634"/>
      <c r="G64" s="634"/>
      <c r="K64" s="634">
        <v>817267</v>
      </c>
      <c r="L64" s="634"/>
      <c r="M64" s="634"/>
      <c r="O64" s="634">
        <v>817267</v>
      </c>
      <c r="P64" s="634"/>
      <c r="Q64" s="634"/>
      <c r="S64" s="599">
        <f t="shared" si="0"/>
        <v>273000</v>
      </c>
      <c r="T64" s="583">
        <v>9</v>
      </c>
      <c r="W64" s="634">
        <v>0</v>
      </c>
      <c r="X64" s="634"/>
      <c r="Y64" s="634"/>
      <c r="AA64" s="634">
        <v>256733</v>
      </c>
      <c r="AB64" s="634"/>
      <c r="AD64" s="634">
        <v>256733</v>
      </c>
      <c r="AE64" s="634"/>
      <c r="AG64" s="634">
        <v>256733</v>
      </c>
      <c r="AH64" s="634"/>
    </row>
    <row r="65" spans="3:34" ht="5.25" customHeight="1">
      <c r="S65" s="599">
        <f t="shared" si="0"/>
        <v>0</v>
      </c>
    </row>
    <row r="66" spans="3:34" ht="13.5" customHeight="1">
      <c r="C66" s="580" t="s">
        <v>921</v>
      </c>
      <c r="E66" s="634">
        <v>281000</v>
      </c>
      <c r="F66" s="634"/>
      <c r="G66" s="634"/>
      <c r="K66" s="634">
        <v>278000</v>
      </c>
      <c r="L66" s="634"/>
      <c r="M66" s="634"/>
      <c r="O66" s="634">
        <v>278000</v>
      </c>
      <c r="P66" s="634"/>
      <c r="Q66" s="634"/>
      <c r="S66" s="599">
        <f t="shared" si="0"/>
        <v>0</v>
      </c>
      <c r="T66" s="583">
        <v>12</v>
      </c>
      <c r="W66" s="634">
        <v>0</v>
      </c>
      <c r="X66" s="634"/>
      <c r="Y66" s="634"/>
      <c r="AA66" s="634">
        <v>3000</v>
      </c>
      <c r="AB66" s="634"/>
      <c r="AD66" s="634">
        <v>3000</v>
      </c>
      <c r="AE66" s="634"/>
      <c r="AG66" s="634">
        <v>3000</v>
      </c>
      <c r="AH66" s="634"/>
    </row>
    <row r="67" spans="3:34" ht="5.25" customHeight="1">
      <c r="S67" s="599">
        <f t="shared" si="0"/>
        <v>0</v>
      </c>
    </row>
    <row r="68" spans="3:34" ht="12" customHeight="1">
      <c r="C68" s="638" t="s">
        <v>922</v>
      </c>
      <c r="E68" s="634">
        <v>70000</v>
      </c>
      <c r="F68" s="634"/>
      <c r="G68" s="634"/>
      <c r="K68" s="634">
        <v>134140</v>
      </c>
      <c r="L68" s="634"/>
      <c r="M68" s="634"/>
      <c r="O68" s="634">
        <v>134140</v>
      </c>
      <c r="P68" s="634"/>
      <c r="Q68" s="634"/>
      <c r="S68" s="599">
        <f t="shared" si="0"/>
        <v>96000</v>
      </c>
      <c r="T68" s="583">
        <v>7</v>
      </c>
      <c r="W68" s="634">
        <v>0</v>
      </c>
      <c r="X68" s="634"/>
      <c r="Y68" s="634"/>
      <c r="AA68" s="634">
        <v>-64140</v>
      </c>
      <c r="AB68" s="634"/>
      <c r="AD68" s="634">
        <v>-64140</v>
      </c>
      <c r="AE68" s="634"/>
      <c r="AG68" s="634">
        <v>-64140</v>
      </c>
      <c r="AH68" s="634"/>
    </row>
    <row r="69" spans="3:34" ht="11.25" customHeight="1">
      <c r="C69" s="638"/>
      <c r="S69" s="599">
        <f t="shared" si="0"/>
        <v>0</v>
      </c>
    </row>
    <row r="70" spans="3:34" ht="12" customHeight="1">
      <c r="C70" s="638" t="s">
        <v>923</v>
      </c>
      <c r="E70" s="634">
        <v>52000</v>
      </c>
      <c r="F70" s="634"/>
      <c r="G70" s="634"/>
      <c r="K70" s="634">
        <v>33800</v>
      </c>
      <c r="L70" s="634"/>
      <c r="M70" s="634"/>
      <c r="O70" s="634">
        <v>33800</v>
      </c>
      <c r="P70" s="634"/>
      <c r="Q70" s="634"/>
      <c r="S70" s="599">
        <f t="shared" si="0"/>
        <v>34000</v>
      </c>
      <c r="T70" s="583">
        <v>6</v>
      </c>
      <c r="W70" s="634">
        <v>0</v>
      </c>
      <c r="X70" s="634"/>
      <c r="Y70" s="634"/>
      <c r="AA70" s="634">
        <v>18200</v>
      </c>
      <c r="AB70" s="634"/>
      <c r="AD70" s="634">
        <v>18200</v>
      </c>
      <c r="AE70" s="634"/>
      <c r="AG70" s="634">
        <v>18200</v>
      </c>
      <c r="AH70" s="634"/>
    </row>
    <row r="71" spans="3:34" ht="11.25" customHeight="1">
      <c r="C71" s="638"/>
      <c r="S71" s="599">
        <f t="shared" si="0"/>
        <v>0</v>
      </c>
    </row>
    <row r="72" spans="3:34" s="601" customFormat="1" ht="13.5" customHeight="1">
      <c r="C72" s="600" t="s">
        <v>924</v>
      </c>
      <c r="E72" s="639">
        <v>108000</v>
      </c>
      <c r="F72" s="639"/>
      <c r="G72" s="639"/>
      <c r="K72" s="639">
        <v>91800</v>
      </c>
      <c r="L72" s="639"/>
      <c r="M72" s="639"/>
      <c r="O72" s="639">
        <v>91800</v>
      </c>
      <c r="P72" s="639"/>
      <c r="Q72" s="639"/>
      <c r="S72" s="602">
        <f t="shared" si="0"/>
        <v>0</v>
      </c>
      <c r="T72" s="603">
        <v>12</v>
      </c>
      <c r="W72" s="639">
        <v>0</v>
      </c>
      <c r="X72" s="639"/>
      <c r="Y72" s="639"/>
      <c r="AA72" s="639">
        <v>16200</v>
      </c>
      <c r="AB72" s="639"/>
      <c r="AD72" s="639">
        <v>16200</v>
      </c>
      <c r="AE72" s="639"/>
      <c r="AG72" s="639">
        <v>16200</v>
      </c>
      <c r="AH72" s="639"/>
    </row>
    <row r="73" spans="3:34" ht="5.25" customHeight="1">
      <c r="S73" s="599">
        <f t="shared" si="0"/>
        <v>0</v>
      </c>
    </row>
    <row r="74" spans="3:34" ht="13.5" customHeight="1">
      <c r="C74" s="580" t="s">
        <v>925</v>
      </c>
      <c r="K74" s="634">
        <v>9000</v>
      </c>
      <c r="L74" s="634"/>
      <c r="M74" s="634"/>
      <c r="O74" s="634">
        <v>9000</v>
      </c>
      <c r="P74" s="634"/>
      <c r="Q74" s="634"/>
      <c r="S74" s="599">
        <f t="shared" si="0"/>
        <v>0</v>
      </c>
      <c r="T74" s="583">
        <v>12</v>
      </c>
      <c r="W74" s="634">
        <v>0</v>
      </c>
      <c r="X74" s="634"/>
      <c r="Y74" s="634"/>
      <c r="AA74" s="634">
        <v>-9000</v>
      </c>
      <c r="AB74" s="634"/>
      <c r="AD74" s="634">
        <v>-9000</v>
      </c>
      <c r="AE74" s="634"/>
      <c r="AG74" s="634">
        <v>-9000</v>
      </c>
      <c r="AH74" s="634"/>
    </row>
    <row r="75" spans="3:34" ht="5.25" customHeight="1">
      <c r="S75" s="599">
        <f t="shared" si="0"/>
        <v>0</v>
      </c>
    </row>
    <row r="76" spans="3:34" ht="13.5" customHeight="1">
      <c r="C76" s="580" t="s">
        <v>926</v>
      </c>
      <c r="E76" s="634">
        <v>91000</v>
      </c>
      <c r="F76" s="634"/>
      <c r="G76" s="634"/>
      <c r="K76" s="634">
        <v>60592</v>
      </c>
      <c r="L76" s="634"/>
      <c r="M76" s="634"/>
      <c r="O76" s="634">
        <v>60592</v>
      </c>
      <c r="P76" s="634"/>
      <c r="Q76" s="634"/>
      <c r="S76" s="599">
        <f t="shared" si="0"/>
        <v>31000</v>
      </c>
      <c r="T76" s="583">
        <v>8</v>
      </c>
      <c r="W76" s="634">
        <v>0</v>
      </c>
      <c r="X76" s="634"/>
      <c r="Y76" s="634"/>
      <c r="AA76" s="634">
        <v>30408</v>
      </c>
      <c r="AB76" s="634"/>
      <c r="AD76" s="634">
        <v>30408</v>
      </c>
      <c r="AE76" s="634"/>
      <c r="AG76" s="634">
        <v>30408</v>
      </c>
      <c r="AH76" s="634"/>
    </row>
    <row r="77" spans="3:34" ht="5.25" customHeight="1">
      <c r="S77" s="599">
        <f t="shared" si="0"/>
        <v>0</v>
      </c>
    </row>
    <row r="78" spans="3:34" ht="13.5" customHeight="1">
      <c r="C78" s="580" t="s">
        <v>927</v>
      </c>
      <c r="E78" s="634">
        <v>54000</v>
      </c>
      <c r="F78" s="634"/>
      <c r="G78" s="634"/>
      <c r="K78" s="634">
        <v>37974</v>
      </c>
      <c r="L78" s="634"/>
      <c r="M78" s="634"/>
      <c r="O78" s="634">
        <v>37974</v>
      </c>
      <c r="P78" s="634"/>
      <c r="Q78" s="634"/>
      <c r="S78" s="599">
        <f t="shared" si="0"/>
        <v>17000</v>
      </c>
      <c r="T78" s="583">
        <v>8.43</v>
      </c>
      <c r="W78" s="634">
        <v>0</v>
      </c>
      <c r="X78" s="634"/>
      <c r="Y78" s="634"/>
      <c r="AA78" s="634">
        <v>16026</v>
      </c>
      <c r="AB78" s="634"/>
      <c r="AD78" s="634">
        <v>16026</v>
      </c>
      <c r="AE78" s="634"/>
      <c r="AG78" s="634">
        <v>16026</v>
      </c>
      <c r="AH78" s="634"/>
    </row>
    <row r="79" spans="3:34" ht="5.25" customHeight="1">
      <c r="S79" s="599">
        <f t="shared" si="0"/>
        <v>0</v>
      </c>
    </row>
    <row r="80" spans="3:34" ht="13.5" customHeight="1">
      <c r="C80" s="580" t="s">
        <v>928</v>
      </c>
      <c r="E80" s="634">
        <v>200000</v>
      </c>
      <c r="F80" s="634"/>
      <c r="G80" s="634"/>
      <c r="K80" s="634">
        <v>161401</v>
      </c>
      <c r="L80" s="634"/>
      <c r="M80" s="634"/>
      <c r="O80" s="634">
        <v>139366</v>
      </c>
      <c r="P80" s="634"/>
      <c r="Q80" s="634"/>
      <c r="S80" s="599">
        <f t="shared" si="0"/>
        <v>47000</v>
      </c>
      <c r="T80" s="583">
        <v>9</v>
      </c>
      <c r="W80" s="634">
        <v>22035</v>
      </c>
      <c r="X80" s="634"/>
      <c r="Y80" s="634"/>
      <c r="AA80" s="634">
        <v>60634</v>
      </c>
      <c r="AB80" s="634"/>
      <c r="AD80" s="634">
        <v>60634</v>
      </c>
      <c r="AE80" s="634"/>
      <c r="AG80" s="634">
        <v>38599</v>
      </c>
      <c r="AH80" s="634"/>
    </row>
    <row r="81" spans="3:34" ht="5.25" customHeight="1">
      <c r="S81" s="599">
        <f t="shared" si="0"/>
        <v>0</v>
      </c>
    </row>
    <row r="82" spans="3:34" ht="13.5" customHeight="1">
      <c r="C82" s="580" t="s">
        <v>929</v>
      </c>
      <c r="E82" s="634">
        <v>32000</v>
      </c>
      <c r="F82" s="634"/>
      <c r="G82" s="634"/>
      <c r="K82" s="634">
        <v>10200</v>
      </c>
      <c r="L82" s="634"/>
      <c r="M82" s="634"/>
      <c r="O82" s="634">
        <v>9000</v>
      </c>
      <c r="P82" s="634"/>
      <c r="Q82" s="634"/>
      <c r="S82" s="599">
        <f t="shared" si="0"/>
        <v>9000</v>
      </c>
      <c r="T82" s="583">
        <v>6</v>
      </c>
      <c r="W82" s="634">
        <v>1200</v>
      </c>
      <c r="X82" s="634"/>
      <c r="Y82" s="634"/>
      <c r="AA82" s="634">
        <v>23000</v>
      </c>
      <c r="AB82" s="634"/>
      <c r="AD82" s="634">
        <v>23000</v>
      </c>
      <c r="AE82" s="634"/>
      <c r="AG82" s="634">
        <v>21800</v>
      </c>
      <c r="AH82" s="634"/>
    </row>
    <row r="83" spans="3:34" ht="5.25" customHeight="1">
      <c r="S83" s="599">
        <f t="shared" si="0"/>
        <v>0</v>
      </c>
    </row>
    <row r="84" spans="3:34" ht="12" customHeight="1">
      <c r="C84" s="638" t="s">
        <v>930</v>
      </c>
      <c r="E84" s="634">
        <v>50000</v>
      </c>
      <c r="F84" s="634"/>
      <c r="G84" s="634"/>
      <c r="K84" s="634">
        <v>49945</v>
      </c>
      <c r="L84" s="634"/>
      <c r="M84" s="634"/>
      <c r="O84" s="634">
        <v>48479</v>
      </c>
      <c r="P84" s="634"/>
      <c r="Q84" s="634"/>
      <c r="S84" s="599">
        <f t="shared" si="0"/>
        <v>17000</v>
      </c>
      <c r="T84" s="583">
        <v>9</v>
      </c>
      <c r="W84" s="634">
        <v>1466</v>
      </c>
      <c r="X84" s="634"/>
      <c r="Y84" s="634"/>
      <c r="AA84" s="634">
        <v>1521</v>
      </c>
      <c r="AB84" s="634"/>
      <c r="AD84" s="634">
        <v>1521</v>
      </c>
      <c r="AE84" s="634"/>
      <c r="AG84" s="634">
        <v>55</v>
      </c>
      <c r="AH84" s="634"/>
    </row>
    <row r="85" spans="3:34" ht="11.25" customHeight="1">
      <c r="C85" s="638"/>
      <c r="S85" s="599">
        <f t="shared" si="0"/>
        <v>0</v>
      </c>
    </row>
    <row r="86" spans="3:34" ht="12" customHeight="1">
      <c r="C86" s="638" t="s">
        <v>931</v>
      </c>
      <c r="E86" s="634">
        <v>20000</v>
      </c>
      <c r="F86" s="634"/>
      <c r="G86" s="634"/>
      <c r="K86" s="634">
        <v>9335</v>
      </c>
      <c r="L86" s="634"/>
      <c r="M86" s="634"/>
      <c r="O86" s="634">
        <v>8930</v>
      </c>
      <c r="P86" s="634"/>
      <c r="Q86" s="634"/>
      <c r="S86" s="599">
        <f t="shared" si="0"/>
        <v>3000</v>
      </c>
      <c r="T86" s="583">
        <v>9</v>
      </c>
      <c r="W86" s="634">
        <v>405</v>
      </c>
      <c r="X86" s="634"/>
      <c r="Y86" s="634"/>
      <c r="AA86" s="634">
        <v>11070</v>
      </c>
      <c r="AB86" s="634"/>
      <c r="AD86" s="634">
        <v>11070</v>
      </c>
      <c r="AE86" s="634"/>
      <c r="AG86" s="634">
        <v>10665</v>
      </c>
      <c r="AH86" s="634"/>
    </row>
    <row r="87" spans="3:34" ht="11.25" customHeight="1">
      <c r="C87" s="638"/>
      <c r="S87" s="599">
        <f t="shared" si="0"/>
        <v>0</v>
      </c>
    </row>
    <row r="88" spans="3:34" ht="13.5" customHeight="1">
      <c r="C88" s="580" t="s">
        <v>932</v>
      </c>
      <c r="E88" s="634">
        <v>252000</v>
      </c>
      <c r="F88" s="634"/>
      <c r="G88" s="634"/>
      <c r="K88" s="634">
        <v>117173</v>
      </c>
      <c r="L88" s="634"/>
      <c r="M88" s="634"/>
      <c r="O88" s="634">
        <v>108843</v>
      </c>
      <c r="P88" s="634"/>
      <c r="Q88" s="634"/>
      <c r="S88" s="599">
        <f t="shared" si="0"/>
        <v>37000</v>
      </c>
      <c r="T88" s="583">
        <v>9</v>
      </c>
      <c r="W88" s="634">
        <v>8330</v>
      </c>
      <c r="X88" s="634"/>
      <c r="Y88" s="634"/>
      <c r="AA88" s="634">
        <v>143157</v>
      </c>
      <c r="AB88" s="634"/>
      <c r="AD88" s="634">
        <v>143157</v>
      </c>
      <c r="AE88" s="634"/>
      <c r="AG88" s="634">
        <v>134827</v>
      </c>
      <c r="AH88" s="634"/>
    </row>
    <row r="89" spans="3:34" ht="5.25" customHeight="1">
      <c r="S89" s="599">
        <f t="shared" si="0"/>
        <v>0</v>
      </c>
    </row>
    <row r="90" spans="3:34" ht="13.5" customHeight="1">
      <c r="C90" s="580" t="s">
        <v>933</v>
      </c>
      <c r="E90" s="634">
        <v>17000</v>
      </c>
      <c r="F90" s="634"/>
      <c r="G90" s="634"/>
      <c r="K90" s="634">
        <v>8400</v>
      </c>
      <c r="L90" s="634"/>
      <c r="M90" s="634"/>
      <c r="O90" s="634">
        <v>8400</v>
      </c>
      <c r="P90" s="634"/>
      <c r="Q90" s="634"/>
      <c r="S90" s="599">
        <f t="shared" si="0"/>
        <v>9000</v>
      </c>
      <c r="T90" s="583">
        <v>6</v>
      </c>
      <c r="W90" s="634">
        <v>0</v>
      </c>
      <c r="X90" s="634"/>
      <c r="Y90" s="634"/>
      <c r="AA90" s="634">
        <v>8600</v>
      </c>
      <c r="AB90" s="634"/>
      <c r="AD90" s="634">
        <v>8600</v>
      </c>
      <c r="AE90" s="634"/>
      <c r="AG90" s="634">
        <v>8600</v>
      </c>
      <c r="AH90" s="634"/>
    </row>
    <row r="91" spans="3:34" ht="5.25" customHeight="1">
      <c r="S91" s="599">
        <f t="shared" si="0"/>
        <v>0</v>
      </c>
    </row>
    <row r="92" spans="3:34" ht="13.5" customHeight="1">
      <c r="C92" s="580" t="s">
        <v>934</v>
      </c>
      <c r="K92" s="634">
        <v>4500</v>
      </c>
      <c r="L92" s="634"/>
      <c r="M92" s="634"/>
      <c r="S92" s="599">
        <f t="shared" si="0"/>
        <v>0</v>
      </c>
      <c r="T92" s="583">
        <v>9</v>
      </c>
      <c r="W92" s="634">
        <v>4500</v>
      </c>
      <c r="X92" s="634"/>
      <c r="Y92" s="634"/>
      <c r="AG92" s="634">
        <v>-4500</v>
      </c>
      <c r="AH92" s="634"/>
    </row>
    <row r="93" spans="3:34" ht="5.25" customHeight="1">
      <c r="S93" s="599">
        <f t="shared" si="0"/>
        <v>0</v>
      </c>
    </row>
    <row r="94" spans="3:34" ht="13.5" customHeight="1">
      <c r="C94" s="580" t="s">
        <v>935</v>
      </c>
      <c r="E94" s="634">
        <v>2000</v>
      </c>
      <c r="F94" s="634"/>
      <c r="G94" s="634"/>
      <c r="K94" s="634">
        <v>2000</v>
      </c>
      <c r="L94" s="634"/>
      <c r="M94" s="634"/>
      <c r="O94" s="634">
        <v>2000</v>
      </c>
      <c r="P94" s="634"/>
      <c r="Q94" s="634"/>
      <c r="S94" s="599">
        <f t="shared" si="0"/>
        <v>0</v>
      </c>
      <c r="T94" s="583">
        <v>12</v>
      </c>
      <c r="W94" s="634">
        <v>0</v>
      </c>
      <c r="X94" s="634"/>
      <c r="Y94" s="634"/>
    </row>
    <row r="95" spans="3:34" ht="5.25" customHeight="1">
      <c r="S95" s="599">
        <f t="shared" si="0"/>
        <v>0</v>
      </c>
    </row>
    <row r="96" spans="3:34" ht="13.5" customHeight="1">
      <c r="C96" s="580" t="s">
        <v>936</v>
      </c>
      <c r="E96" s="634">
        <v>30000</v>
      </c>
      <c r="F96" s="634"/>
      <c r="G96" s="634"/>
      <c r="K96" s="634">
        <v>20000</v>
      </c>
      <c r="L96" s="634"/>
      <c r="M96" s="634"/>
      <c r="O96" s="634">
        <v>20000</v>
      </c>
      <c r="P96" s="634"/>
      <c r="Q96" s="634"/>
      <c r="S96" s="599">
        <f t="shared" si="0"/>
        <v>10000</v>
      </c>
      <c r="T96" s="583">
        <v>8</v>
      </c>
      <c r="W96" s="634">
        <v>0</v>
      </c>
      <c r="X96" s="634"/>
      <c r="Y96" s="634"/>
      <c r="AA96" s="634">
        <v>10000</v>
      </c>
      <c r="AB96" s="634"/>
      <c r="AD96" s="634">
        <v>10000</v>
      </c>
      <c r="AE96" s="634"/>
      <c r="AG96" s="634">
        <v>10000</v>
      </c>
      <c r="AH96" s="634"/>
    </row>
    <row r="97" spans="2:35" ht="5.25" customHeight="1">
      <c r="S97" s="599">
        <f t="shared" si="0"/>
        <v>0</v>
      </c>
    </row>
    <row r="98" spans="2:35" ht="13.5" customHeight="1">
      <c r="C98" s="580" t="s">
        <v>937</v>
      </c>
      <c r="E98" s="634">
        <v>60000</v>
      </c>
      <c r="F98" s="634"/>
      <c r="G98" s="634"/>
      <c r="K98" s="634">
        <v>17722</v>
      </c>
      <c r="L98" s="634"/>
      <c r="M98" s="634"/>
      <c r="O98" s="634">
        <v>17722</v>
      </c>
      <c r="P98" s="634"/>
      <c r="Q98" s="634"/>
      <c r="S98" s="599">
        <f t="shared" si="0"/>
        <v>6000</v>
      </c>
      <c r="T98" s="583">
        <v>9</v>
      </c>
      <c r="W98" s="634">
        <v>0</v>
      </c>
      <c r="X98" s="634"/>
      <c r="Y98" s="634"/>
      <c r="AA98" s="634">
        <v>42278</v>
      </c>
      <c r="AB98" s="634"/>
      <c r="AD98" s="634">
        <v>42278</v>
      </c>
      <c r="AE98" s="634"/>
      <c r="AG98" s="634">
        <v>42278</v>
      </c>
      <c r="AH98" s="634"/>
    </row>
    <row r="99" spans="2:35" ht="5.25" customHeight="1">
      <c r="S99" s="599">
        <f t="shared" si="0"/>
        <v>0</v>
      </c>
    </row>
    <row r="100" spans="2:35" ht="13.5" customHeight="1">
      <c r="C100" s="580" t="s">
        <v>938</v>
      </c>
      <c r="E100" s="634">
        <v>148000</v>
      </c>
      <c r="F100" s="634"/>
      <c r="G100" s="634"/>
      <c r="K100" s="634">
        <v>58744</v>
      </c>
      <c r="L100" s="634"/>
      <c r="M100" s="634"/>
      <c r="O100" s="634">
        <v>58254</v>
      </c>
      <c r="P100" s="634"/>
      <c r="Q100" s="634"/>
      <c r="S100" s="599">
        <f t="shared" si="0"/>
        <v>20000</v>
      </c>
      <c r="T100" s="583">
        <v>9</v>
      </c>
      <c r="W100" s="634">
        <v>490</v>
      </c>
      <c r="X100" s="634"/>
      <c r="Y100" s="634"/>
      <c r="AA100" s="634">
        <v>89746</v>
      </c>
      <c r="AB100" s="634"/>
      <c r="AD100" s="634">
        <v>89746</v>
      </c>
      <c r="AE100" s="634"/>
      <c r="AG100" s="634">
        <v>89256</v>
      </c>
      <c r="AH100" s="634"/>
    </row>
    <row r="101" spans="2:35" ht="5.25" customHeight="1"/>
    <row r="102" spans="2:35" ht="14.25">
      <c r="AI102" s="605"/>
    </row>
    <row r="103" spans="2:35" ht="14.25">
      <c r="S103" s="608" t="s">
        <v>940</v>
      </c>
      <c r="AH103" s="609" t="s">
        <v>941</v>
      </c>
      <c r="AI103" s="606" t="s">
        <v>942</v>
      </c>
    </row>
    <row r="104" spans="2:35" ht="21">
      <c r="B104" s="636"/>
      <c r="C104" s="636"/>
      <c r="E104" s="635"/>
      <c r="F104" s="635"/>
      <c r="G104" s="635"/>
      <c r="H104" s="635"/>
      <c r="I104" s="635"/>
      <c r="K104" s="635"/>
      <c r="L104" s="635"/>
      <c r="M104" s="635"/>
      <c r="O104" s="635"/>
      <c r="P104" s="635"/>
      <c r="Q104" s="635"/>
      <c r="S104" s="607">
        <f>SUM(S36:S103)</f>
        <v>1031000</v>
      </c>
      <c r="W104" s="635">
        <f t="shared" ref="W104:Y104" si="1">SUM(W36:W103)</f>
        <v>98793</v>
      </c>
      <c r="X104" s="635">
        <f t="shared" si="1"/>
        <v>0</v>
      </c>
      <c r="Y104" s="635">
        <f t="shared" si="1"/>
        <v>0</v>
      </c>
      <c r="AA104" s="635">
        <f t="shared" ref="AA104" si="2">SUM(AA36:AA103)</f>
        <v>1354120</v>
      </c>
      <c r="AB104" s="635">
        <f t="shared" ref="AB104" si="3">SUM(AB36:AB103)</f>
        <v>0</v>
      </c>
      <c r="AC104" s="564">
        <f t="shared" ref="AC104" si="4">SUM(AC36:AC103)</f>
        <v>0</v>
      </c>
      <c r="AD104" s="635">
        <f t="shared" ref="AD104" si="5">SUM(AD36:AD103)</f>
        <v>1354120</v>
      </c>
      <c r="AE104" s="635">
        <f t="shared" ref="AE104" si="6">SUM(AE36:AE103)</f>
        <v>0</v>
      </c>
      <c r="AF104" s="564">
        <f t="shared" ref="AF104" si="7">SUM(AF36:AF103)</f>
        <v>0</v>
      </c>
      <c r="AG104" s="637">
        <f t="shared" ref="AG104" si="8">SUM(AG36:AG103)</f>
        <v>1255327</v>
      </c>
      <c r="AH104" s="637">
        <f t="shared" ref="AH104" si="9">SUM(AH36:AH103)</f>
        <v>0</v>
      </c>
      <c r="AI104" s="607">
        <f>AG104-S104</f>
        <v>224327</v>
      </c>
    </row>
    <row r="105" spans="2:35" ht="13.5" customHeight="1">
      <c r="B105" s="636"/>
      <c r="C105" s="636"/>
      <c r="E105" s="635"/>
      <c r="F105" s="635"/>
      <c r="G105" s="635"/>
      <c r="H105" s="635"/>
      <c r="I105" s="635"/>
      <c r="K105" s="635"/>
      <c r="L105" s="635"/>
      <c r="M105" s="635"/>
      <c r="O105" s="635"/>
      <c r="P105" s="635"/>
      <c r="Q105" s="635"/>
      <c r="W105" s="635">
        <v>0</v>
      </c>
      <c r="X105" s="635"/>
      <c r="Y105" s="635"/>
      <c r="AA105" s="635"/>
      <c r="AB105" s="635"/>
      <c r="AD105" s="635"/>
      <c r="AE105" s="635"/>
      <c r="AG105" s="635"/>
      <c r="AH105" s="635"/>
    </row>
    <row r="106" spans="2:35" ht="13.5" customHeight="1">
      <c r="C106" s="580"/>
      <c r="E106" s="634"/>
      <c r="F106" s="634"/>
      <c r="G106" s="634"/>
      <c r="K106" s="634"/>
      <c r="L106" s="634"/>
      <c r="M106" s="634"/>
      <c r="W106" s="634">
        <v>0</v>
      </c>
      <c r="X106" s="634"/>
      <c r="Y106" s="634"/>
      <c r="AA106" s="634"/>
      <c r="AB106" s="634"/>
      <c r="AD106" s="634"/>
      <c r="AE106" s="634"/>
      <c r="AG106" s="634"/>
      <c r="AH106" s="634"/>
    </row>
    <row r="107" spans="2:35" ht="5.25" customHeight="1"/>
    <row r="108" spans="2:35" ht="13.5" customHeight="1">
      <c r="C108" s="580"/>
      <c r="E108" s="634"/>
      <c r="F108" s="634"/>
      <c r="G108" s="634"/>
      <c r="K108" s="634"/>
      <c r="L108" s="634"/>
      <c r="M108" s="634"/>
      <c r="O108" s="634"/>
      <c r="P108" s="634"/>
      <c r="Q108" s="634"/>
      <c r="W108" s="634">
        <v>0</v>
      </c>
      <c r="X108" s="634"/>
      <c r="Y108" s="634"/>
      <c r="AA108" s="634"/>
      <c r="AB108" s="634"/>
      <c r="AD108" s="634"/>
      <c r="AE108" s="634"/>
      <c r="AG108" s="634"/>
      <c r="AH108" s="634"/>
    </row>
    <row r="109" spans="2:35" ht="5.25" customHeight="1"/>
    <row r="110" spans="2:35" ht="11.25" customHeight="1"/>
    <row r="111" spans="2:35" ht="11.25" customHeight="1"/>
    <row r="112" spans="2:35" ht="11.25" customHeight="1"/>
    <row r="113" ht="143.25" customHeight="1"/>
  </sheetData>
  <mergeCells count="364">
    <mergeCell ref="AB2:AG2"/>
    <mergeCell ref="A3:AG3"/>
    <mergeCell ref="A4:AG4"/>
    <mergeCell ref="A5:AG5"/>
    <mergeCell ref="AA7:AB11"/>
    <mergeCell ref="AD7:AD11"/>
    <mergeCell ref="AG7:AH10"/>
    <mergeCell ref="E8:E11"/>
    <mergeCell ref="I8:I11"/>
    <mergeCell ref="L8:L10"/>
    <mergeCell ref="AG13:AH13"/>
    <mergeCell ref="B14:C14"/>
    <mergeCell ref="E14:G14"/>
    <mergeCell ref="H14:I14"/>
    <mergeCell ref="K14:M14"/>
    <mergeCell ref="O14:Q14"/>
    <mergeCell ref="W14:Y14"/>
    <mergeCell ref="AA14:AB14"/>
    <mergeCell ref="P8:P12"/>
    <mergeCell ref="T8:T10"/>
    <mergeCell ref="X8:X12"/>
    <mergeCell ref="A9:C11"/>
    <mergeCell ref="A13:C13"/>
    <mergeCell ref="E13:G13"/>
    <mergeCell ref="H13:I13"/>
    <mergeCell ref="K13:M13"/>
    <mergeCell ref="O13:Q13"/>
    <mergeCell ref="W13:Y13"/>
    <mergeCell ref="B15:C15"/>
    <mergeCell ref="E15:G15"/>
    <mergeCell ref="H15:I15"/>
    <mergeCell ref="K15:M15"/>
    <mergeCell ref="O15:Q15"/>
    <mergeCell ref="W15:Y15"/>
    <mergeCell ref="AA15:AB15"/>
    <mergeCell ref="AD15:AE15"/>
    <mergeCell ref="AA13:AB13"/>
    <mergeCell ref="AD13:AE13"/>
    <mergeCell ref="AG15:AH15"/>
    <mergeCell ref="E16:G16"/>
    <mergeCell ref="K16:M16"/>
    <mergeCell ref="O16:Q16"/>
    <mergeCell ref="W16:Y16"/>
    <mergeCell ref="AA16:AB16"/>
    <mergeCell ref="AD16:AE16"/>
    <mergeCell ref="AG16:AH16"/>
    <mergeCell ref="AD14:AE14"/>
    <mergeCell ref="AG14:AH14"/>
    <mergeCell ref="AG18:AH18"/>
    <mergeCell ref="E20:G20"/>
    <mergeCell ref="K20:M20"/>
    <mergeCell ref="O20:Q20"/>
    <mergeCell ref="W20:Y20"/>
    <mergeCell ref="AA20:AB20"/>
    <mergeCell ref="AD20:AE20"/>
    <mergeCell ref="AG20:AH20"/>
    <mergeCell ref="E18:G18"/>
    <mergeCell ref="K18:M18"/>
    <mergeCell ref="O18:Q18"/>
    <mergeCell ref="W18:Y18"/>
    <mergeCell ref="AA18:AB18"/>
    <mergeCell ref="AD18:AE18"/>
    <mergeCell ref="E22:G22"/>
    <mergeCell ref="W22:Y22"/>
    <mergeCell ref="AA22:AB22"/>
    <mergeCell ref="AD22:AE22"/>
    <mergeCell ref="AG22:AH22"/>
    <mergeCell ref="E24:G24"/>
    <mergeCell ref="K24:M24"/>
    <mergeCell ref="O24:Q24"/>
    <mergeCell ref="W24:Y24"/>
    <mergeCell ref="AA24:AB24"/>
    <mergeCell ref="AD24:AE24"/>
    <mergeCell ref="AG24:AH24"/>
    <mergeCell ref="E26:G26"/>
    <mergeCell ref="K26:M26"/>
    <mergeCell ref="O26:Q26"/>
    <mergeCell ref="W26:Y26"/>
    <mergeCell ref="AA26:AB26"/>
    <mergeCell ref="AD26:AE26"/>
    <mergeCell ref="AG26:AH26"/>
    <mergeCell ref="AG28:AH28"/>
    <mergeCell ref="E30:G30"/>
    <mergeCell ref="K30:M30"/>
    <mergeCell ref="O30:Q30"/>
    <mergeCell ref="W30:Y30"/>
    <mergeCell ref="AA30:AB30"/>
    <mergeCell ref="AD30:AE30"/>
    <mergeCell ref="AG30:AH30"/>
    <mergeCell ref="E28:G28"/>
    <mergeCell ref="K28:M28"/>
    <mergeCell ref="O28:Q28"/>
    <mergeCell ref="W28:Y28"/>
    <mergeCell ref="AA28:AB28"/>
    <mergeCell ref="AD28:AE28"/>
    <mergeCell ref="AG32:AH32"/>
    <mergeCell ref="E34:G34"/>
    <mergeCell ref="K34:M34"/>
    <mergeCell ref="O34:Q34"/>
    <mergeCell ref="W34:Y34"/>
    <mergeCell ref="AA34:AB34"/>
    <mergeCell ref="AD34:AE34"/>
    <mergeCell ref="AG34:AH34"/>
    <mergeCell ref="E32:G32"/>
    <mergeCell ref="K32:M32"/>
    <mergeCell ref="O32:Q32"/>
    <mergeCell ref="W32:Y32"/>
    <mergeCell ref="AA32:AB32"/>
    <mergeCell ref="AD32:AE32"/>
    <mergeCell ref="AG36:AH36"/>
    <mergeCell ref="E38:G38"/>
    <mergeCell ref="K38:M38"/>
    <mergeCell ref="O38:Q38"/>
    <mergeCell ref="W38:Y38"/>
    <mergeCell ref="AA38:AB38"/>
    <mergeCell ref="AD38:AE38"/>
    <mergeCell ref="AG38:AH38"/>
    <mergeCell ref="E36:G36"/>
    <mergeCell ref="K36:M36"/>
    <mergeCell ref="O36:Q36"/>
    <mergeCell ref="W36:Y36"/>
    <mergeCell ref="AA36:AB36"/>
    <mergeCell ref="AD36:AE36"/>
    <mergeCell ref="K44:M44"/>
    <mergeCell ref="O44:Q44"/>
    <mergeCell ref="W44:Y44"/>
    <mergeCell ref="AA44:AB44"/>
    <mergeCell ref="AD44:AE44"/>
    <mergeCell ref="AG44:AH44"/>
    <mergeCell ref="AG40:AH40"/>
    <mergeCell ref="E42:G42"/>
    <mergeCell ref="K42:M42"/>
    <mergeCell ref="O42:Q42"/>
    <mergeCell ref="W42:Y42"/>
    <mergeCell ref="AA42:AB42"/>
    <mergeCell ref="AD42:AE42"/>
    <mergeCell ref="AG42:AH42"/>
    <mergeCell ref="E40:G40"/>
    <mergeCell ref="K40:M40"/>
    <mergeCell ref="O40:Q40"/>
    <mergeCell ref="W40:Y40"/>
    <mergeCell ref="AA40:AB40"/>
    <mergeCell ref="AD40:AE40"/>
    <mergeCell ref="AG46:AH46"/>
    <mergeCell ref="E48:G48"/>
    <mergeCell ref="W48:Y48"/>
    <mergeCell ref="AA48:AB48"/>
    <mergeCell ref="AD48:AE48"/>
    <mergeCell ref="AG48:AH48"/>
    <mergeCell ref="E46:G46"/>
    <mergeCell ref="K46:M46"/>
    <mergeCell ref="O46:Q46"/>
    <mergeCell ref="W46:Y46"/>
    <mergeCell ref="AA46:AB46"/>
    <mergeCell ref="AD46:AE46"/>
    <mergeCell ref="AG50:AH50"/>
    <mergeCell ref="E52:G52"/>
    <mergeCell ref="W52:Y52"/>
    <mergeCell ref="AA52:AB52"/>
    <mergeCell ref="AD52:AE52"/>
    <mergeCell ref="AG52:AH52"/>
    <mergeCell ref="E50:G50"/>
    <mergeCell ref="K50:M50"/>
    <mergeCell ref="O50:Q50"/>
    <mergeCell ref="W50:Y50"/>
    <mergeCell ref="AA50:AB50"/>
    <mergeCell ref="AD50:AE50"/>
    <mergeCell ref="AG54:AH54"/>
    <mergeCell ref="E56:G56"/>
    <mergeCell ref="K56:M56"/>
    <mergeCell ref="O56:Q56"/>
    <mergeCell ref="W56:Y56"/>
    <mergeCell ref="AA56:AB56"/>
    <mergeCell ref="AD56:AE56"/>
    <mergeCell ref="AG56:AH56"/>
    <mergeCell ref="E54:G54"/>
    <mergeCell ref="K54:M54"/>
    <mergeCell ref="O54:Q54"/>
    <mergeCell ref="W54:Y54"/>
    <mergeCell ref="AA54:AB54"/>
    <mergeCell ref="AD54:AE54"/>
    <mergeCell ref="C62:C63"/>
    <mergeCell ref="E62:G62"/>
    <mergeCell ref="K62:M62"/>
    <mergeCell ref="O62:Q62"/>
    <mergeCell ref="W62:Y62"/>
    <mergeCell ref="AA62:AB62"/>
    <mergeCell ref="AD58:AE58"/>
    <mergeCell ref="AG58:AH58"/>
    <mergeCell ref="E60:G60"/>
    <mergeCell ref="K60:M60"/>
    <mergeCell ref="O60:Q60"/>
    <mergeCell ref="W60:Y60"/>
    <mergeCell ref="AA60:AB60"/>
    <mergeCell ref="AD60:AE60"/>
    <mergeCell ref="AG60:AH60"/>
    <mergeCell ref="C58:C59"/>
    <mergeCell ref="E58:G58"/>
    <mergeCell ref="K58:M58"/>
    <mergeCell ref="O58:Q58"/>
    <mergeCell ref="W58:Y58"/>
    <mergeCell ref="AA58:AB58"/>
    <mergeCell ref="AD62:AE62"/>
    <mergeCell ref="AG62:AH62"/>
    <mergeCell ref="E64:G64"/>
    <mergeCell ref="K64:M64"/>
    <mergeCell ref="O64:Q64"/>
    <mergeCell ref="W64:Y64"/>
    <mergeCell ref="AA64:AB64"/>
    <mergeCell ref="AD64:AE64"/>
    <mergeCell ref="AG64:AH64"/>
    <mergeCell ref="C70:C71"/>
    <mergeCell ref="E70:G70"/>
    <mergeCell ref="K70:M70"/>
    <mergeCell ref="O70:Q70"/>
    <mergeCell ref="W70:Y70"/>
    <mergeCell ref="AA70:AB70"/>
    <mergeCell ref="AG66:AH66"/>
    <mergeCell ref="C68:C69"/>
    <mergeCell ref="E68:G68"/>
    <mergeCell ref="K68:M68"/>
    <mergeCell ref="O68:Q68"/>
    <mergeCell ref="W68:Y68"/>
    <mergeCell ref="AA68:AB68"/>
    <mergeCell ref="AD68:AE68"/>
    <mergeCell ref="AG68:AH68"/>
    <mergeCell ref="E66:G66"/>
    <mergeCell ref="K66:M66"/>
    <mergeCell ref="O66:Q66"/>
    <mergeCell ref="W66:Y66"/>
    <mergeCell ref="AA66:AB66"/>
    <mergeCell ref="AD66:AE66"/>
    <mergeCell ref="K74:M74"/>
    <mergeCell ref="O74:Q74"/>
    <mergeCell ref="W74:Y74"/>
    <mergeCell ref="AA74:AB74"/>
    <mergeCell ref="AD74:AE74"/>
    <mergeCell ref="AG74:AH74"/>
    <mergeCell ref="AD70:AE70"/>
    <mergeCell ref="AG70:AH70"/>
    <mergeCell ref="E72:G72"/>
    <mergeCell ref="K72:M72"/>
    <mergeCell ref="O72:Q72"/>
    <mergeCell ref="W72:Y72"/>
    <mergeCell ref="AA72:AB72"/>
    <mergeCell ref="AD72:AE72"/>
    <mergeCell ref="AG72:AH72"/>
    <mergeCell ref="AG76:AH76"/>
    <mergeCell ref="E78:G78"/>
    <mergeCell ref="K78:M78"/>
    <mergeCell ref="O78:Q78"/>
    <mergeCell ref="W78:Y78"/>
    <mergeCell ref="AA78:AB78"/>
    <mergeCell ref="AD78:AE78"/>
    <mergeCell ref="AG78:AH78"/>
    <mergeCell ref="E76:G76"/>
    <mergeCell ref="K76:M76"/>
    <mergeCell ref="O76:Q76"/>
    <mergeCell ref="W76:Y76"/>
    <mergeCell ref="AA76:AB76"/>
    <mergeCell ref="AD76:AE76"/>
    <mergeCell ref="AG80:AH80"/>
    <mergeCell ref="E82:G82"/>
    <mergeCell ref="K82:M82"/>
    <mergeCell ref="O82:Q82"/>
    <mergeCell ref="W82:Y82"/>
    <mergeCell ref="AA82:AB82"/>
    <mergeCell ref="AD82:AE82"/>
    <mergeCell ref="AG82:AH82"/>
    <mergeCell ref="E80:G80"/>
    <mergeCell ref="K80:M80"/>
    <mergeCell ref="O80:Q80"/>
    <mergeCell ref="W80:Y80"/>
    <mergeCell ref="AA80:AB80"/>
    <mergeCell ref="AD80:AE80"/>
    <mergeCell ref="AD84:AE84"/>
    <mergeCell ref="AG84:AH84"/>
    <mergeCell ref="C86:C87"/>
    <mergeCell ref="E86:G86"/>
    <mergeCell ref="K86:M86"/>
    <mergeCell ref="O86:Q86"/>
    <mergeCell ref="W86:Y86"/>
    <mergeCell ref="AA86:AB86"/>
    <mergeCell ref="AD86:AE86"/>
    <mergeCell ref="AG86:AH86"/>
    <mergeCell ref="C84:C85"/>
    <mergeCell ref="E84:G84"/>
    <mergeCell ref="K84:M84"/>
    <mergeCell ref="O84:Q84"/>
    <mergeCell ref="W84:Y84"/>
    <mergeCell ref="AA84:AB84"/>
    <mergeCell ref="K92:M92"/>
    <mergeCell ref="W92:Y92"/>
    <mergeCell ref="AG92:AH92"/>
    <mergeCell ref="E94:G94"/>
    <mergeCell ref="K94:M94"/>
    <mergeCell ref="O94:Q94"/>
    <mergeCell ref="W94:Y94"/>
    <mergeCell ref="AG88:AH88"/>
    <mergeCell ref="E90:G90"/>
    <mergeCell ref="K90:M90"/>
    <mergeCell ref="O90:Q90"/>
    <mergeCell ref="W90:Y90"/>
    <mergeCell ref="AA90:AB90"/>
    <mergeCell ref="AD90:AE90"/>
    <mergeCell ref="AG90:AH90"/>
    <mergeCell ref="E88:G88"/>
    <mergeCell ref="K88:M88"/>
    <mergeCell ref="O88:Q88"/>
    <mergeCell ref="W88:Y88"/>
    <mergeCell ref="AA88:AB88"/>
    <mergeCell ref="AD88:AE88"/>
    <mergeCell ref="AG96:AH96"/>
    <mergeCell ref="E98:G98"/>
    <mergeCell ref="K98:M98"/>
    <mergeCell ref="O98:Q98"/>
    <mergeCell ref="W98:Y98"/>
    <mergeCell ref="AA98:AB98"/>
    <mergeCell ref="AD98:AE98"/>
    <mergeCell ref="AG98:AH98"/>
    <mergeCell ref="E96:G96"/>
    <mergeCell ref="K96:M96"/>
    <mergeCell ref="O96:Q96"/>
    <mergeCell ref="W96:Y96"/>
    <mergeCell ref="AA96:AB96"/>
    <mergeCell ref="AD96:AE96"/>
    <mergeCell ref="B105:C105"/>
    <mergeCell ref="E105:G105"/>
    <mergeCell ref="H105:I105"/>
    <mergeCell ref="K105:M105"/>
    <mergeCell ref="O105:Q105"/>
    <mergeCell ref="W105:Y105"/>
    <mergeCell ref="AG100:AH100"/>
    <mergeCell ref="B104:C104"/>
    <mergeCell ref="E104:G104"/>
    <mergeCell ref="H104:I104"/>
    <mergeCell ref="K104:M104"/>
    <mergeCell ref="O104:Q104"/>
    <mergeCell ref="W104:Y104"/>
    <mergeCell ref="AA104:AB104"/>
    <mergeCell ref="AD104:AE104"/>
    <mergeCell ref="AG104:AH104"/>
    <mergeCell ref="E100:G100"/>
    <mergeCell ref="K100:M100"/>
    <mergeCell ref="O100:Q100"/>
    <mergeCell ref="W100:Y100"/>
    <mergeCell ref="AA100:AB100"/>
    <mergeCell ref="AD100:AE100"/>
    <mergeCell ref="AG108:AH108"/>
    <mergeCell ref="E108:G108"/>
    <mergeCell ref="K108:M108"/>
    <mergeCell ref="O108:Q108"/>
    <mergeCell ref="W108:Y108"/>
    <mergeCell ref="AA108:AB108"/>
    <mergeCell ref="AD108:AE108"/>
    <mergeCell ref="AA105:AB105"/>
    <mergeCell ref="AD105:AE105"/>
    <mergeCell ref="AG105:AH105"/>
    <mergeCell ref="E106:G106"/>
    <mergeCell ref="K106:M106"/>
    <mergeCell ref="W106:Y106"/>
    <mergeCell ref="AA106:AB106"/>
    <mergeCell ref="AD106:AE106"/>
    <mergeCell ref="AG106:AH106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AFF32-D45F-4AD4-8155-6FCA2550A67C}">
  <sheetPr>
    <outlinePr summaryBelow="0"/>
    <pageSetUpPr autoPageBreaks="0"/>
  </sheetPr>
  <dimension ref="A2:Y299"/>
  <sheetViews>
    <sheetView showGridLines="0" topLeftCell="A158" workbookViewId="0">
      <selection activeCell="Y183" sqref="Y183"/>
    </sheetView>
  </sheetViews>
  <sheetFormatPr defaultRowHeight="12.75"/>
  <cols>
    <col min="1" max="1" width="3.140625" style="564" customWidth="1"/>
    <col min="2" max="2" width="46.42578125" style="564" customWidth="1"/>
    <col min="3" max="3" width="7.42578125" style="564" customWidth="1"/>
    <col min="4" max="4" width="1.42578125" style="564" customWidth="1"/>
    <col min="5" max="5" width="11.85546875" style="564" customWidth="1"/>
    <col min="6" max="6" width="2.28515625" style="564" customWidth="1"/>
    <col min="7" max="7" width="11.28515625" style="564" customWidth="1"/>
    <col min="8" max="8" width="2" style="564" customWidth="1"/>
    <col min="9" max="9" width="12.85546875" style="564" customWidth="1"/>
    <col min="10" max="10" width="1.42578125" style="564" customWidth="1"/>
    <col min="11" max="11" width="11.5703125" style="564" hidden="1" customWidth="1"/>
    <col min="12" max="12" width="2.85546875" style="564" hidden="1" customWidth="1"/>
    <col min="13" max="13" width="1" style="564" hidden="1" customWidth="1"/>
    <col min="14" max="14" width="8" style="564" hidden="1" customWidth="1"/>
    <col min="15" max="15" width="2.28515625" style="564" hidden="1" customWidth="1"/>
    <col min="16" max="16" width="2.140625" style="564" hidden="1" customWidth="1"/>
    <col min="17" max="17" width="9.28515625" style="564" customWidth="1"/>
    <col min="18" max="18" width="4" style="564" customWidth="1"/>
    <col min="19" max="19" width="2.85546875" style="564" customWidth="1"/>
    <col min="20" max="20" width="12.5703125" style="564" hidden="1" customWidth="1"/>
    <col min="21" max="21" width="1" style="564" hidden="1" customWidth="1"/>
    <col min="22" max="22" width="1.140625" style="564" hidden="1" customWidth="1"/>
    <col min="23" max="23" width="2.85546875" style="564" hidden="1" customWidth="1"/>
    <col min="24" max="24" width="9.85546875" style="564" hidden="1" customWidth="1"/>
    <col min="25" max="25" width="13.42578125" style="585" customWidth="1"/>
    <col min="26" max="256" width="6.85546875" style="564" customWidth="1"/>
    <col min="257" max="16384" width="9.140625" style="564"/>
  </cols>
  <sheetData>
    <row r="2" spans="1:24" ht="15.75">
      <c r="R2" s="642" t="s">
        <v>885</v>
      </c>
      <c r="S2" s="642"/>
      <c r="T2" s="642"/>
      <c r="U2" s="642"/>
      <c r="V2" s="642"/>
      <c r="W2" s="642"/>
    </row>
    <row r="3" spans="1:24" ht="25.5">
      <c r="A3" s="643" t="s">
        <v>884</v>
      </c>
      <c r="B3" s="643"/>
      <c r="C3" s="643"/>
      <c r="D3" s="643"/>
      <c r="E3" s="643"/>
      <c r="F3" s="643"/>
      <c r="G3" s="643"/>
      <c r="H3" s="643"/>
      <c r="I3" s="643"/>
      <c r="J3" s="643"/>
      <c r="K3" s="643"/>
      <c r="L3" s="643"/>
      <c r="M3" s="643"/>
      <c r="N3" s="643"/>
      <c r="O3" s="643"/>
      <c r="P3" s="643"/>
      <c r="Q3" s="643"/>
      <c r="R3" s="643"/>
      <c r="S3" s="643"/>
      <c r="T3" s="643"/>
      <c r="U3" s="643"/>
      <c r="V3" s="643"/>
      <c r="W3" s="643"/>
    </row>
    <row r="4" spans="1:24" ht="25.5">
      <c r="A4" s="643" t="s">
        <v>883</v>
      </c>
      <c r="B4" s="643"/>
      <c r="C4" s="643"/>
      <c r="D4" s="643"/>
      <c r="E4" s="643"/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</row>
    <row r="5" spans="1:24" ht="25.5">
      <c r="A5" s="643" t="s">
        <v>882</v>
      </c>
      <c r="B5" s="643"/>
      <c r="C5" s="643"/>
      <c r="D5" s="643"/>
      <c r="E5" s="643"/>
      <c r="F5" s="643"/>
      <c r="G5" s="643"/>
      <c r="H5" s="643"/>
      <c r="I5" s="643"/>
      <c r="J5" s="643"/>
      <c r="K5" s="643"/>
      <c r="L5" s="643"/>
      <c r="M5" s="643"/>
      <c r="N5" s="643"/>
      <c r="O5" s="643"/>
      <c r="P5" s="643"/>
      <c r="Q5" s="643"/>
      <c r="R5" s="643"/>
      <c r="S5" s="643"/>
      <c r="T5" s="643"/>
      <c r="U5" s="643"/>
      <c r="V5" s="643"/>
      <c r="W5" s="643"/>
    </row>
    <row r="7" spans="1:24">
      <c r="A7" s="640" t="s">
        <v>881</v>
      </c>
      <c r="B7" s="640"/>
      <c r="C7" s="640"/>
      <c r="E7" s="640" t="s">
        <v>880</v>
      </c>
      <c r="F7" s="640" t="s">
        <v>879</v>
      </c>
      <c r="G7" s="640"/>
      <c r="H7" s="640" t="s">
        <v>878</v>
      </c>
      <c r="I7" s="640"/>
      <c r="K7" s="640" t="s">
        <v>877</v>
      </c>
      <c r="L7" s="640"/>
      <c r="N7" s="640" t="s">
        <v>876</v>
      </c>
      <c r="Q7" s="640" t="s">
        <v>875</v>
      </c>
      <c r="R7" s="640"/>
      <c r="T7" s="640" t="s">
        <v>874</v>
      </c>
      <c r="W7" s="640" t="s">
        <v>873</v>
      </c>
      <c r="X7" s="640"/>
    </row>
    <row r="8" spans="1:24">
      <c r="A8" s="640"/>
      <c r="B8" s="640"/>
      <c r="C8" s="640"/>
      <c r="E8" s="640"/>
      <c r="F8" s="640"/>
      <c r="G8" s="640"/>
      <c r="H8" s="640"/>
      <c r="I8" s="640"/>
      <c r="K8" s="640"/>
      <c r="L8" s="640"/>
      <c r="N8" s="640"/>
      <c r="Q8" s="640"/>
      <c r="R8" s="640"/>
      <c r="T8" s="640"/>
      <c r="W8" s="640"/>
      <c r="X8" s="640"/>
    </row>
    <row r="9" spans="1:24">
      <c r="A9" s="640"/>
      <c r="B9" s="640"/>
      <c r="C9" s="640"/>
      <c r="E9" s="640"/>
      <c r="F9" s="640"/>
      <c r="G9" s="640"/>
      <c r="H9" s="640"/>
      <c r="I9" s="640"/>
      <c r="K9" s="640"/>
      <c r="L9" s="640"/>
      <c r="N9" s="640"/>
      <c r="Q9" s="640"/>
      <c r="R9" s="640"/>
      <c r="T9" s="640"/>
      <c r="W9" s="640"/>
      <c r="X9" s="640"/>
    </row>
    <row r="11" spans="1:24" ht="15">
      <c r="B11" s="644" t="s">
        <v>872</v>
      </c>
      <c r="C11" s="644"/>
      <c r="E11" s="579">
        <v>224860</v>
      </c>
      <c r="G11" s="579">
        <v>217132</v>
      </c>
      <c r="I11" s="579">
        <v>154178</v>
      </c>
      <c r="Q11" s="634">
        <v>70682</v>
      </c>
      <c r="R11" s="634"/>
      <c r="T11" s="634">
        <v>70682</v>
      </c>
      <c r="U11" s="634"/>
      <c r="W11" s="634">
        <v>70682</v>
      </c>
      <c r="X11" s="634"/>
    </row>
    <row r="12" spans="1:24">
      <c r="B12" s="644"/>
      <c r="C12" s="644"/>
    </row>
    <row r="13" spans="1:24" ht="15">
      <c r="B13" s="644" t="s">
        <v>871</v>
      </c>
      <c r="C13" s="644"/>
      <c r="E13" s="579">
        <v>1137624</v>
      </c>
      <c r="G13" s="579">
        <v>932083</v>
      </c>
      <c r="I13" s="579">
        <v>830917</v>
      </c>
      <c r="M13" s="645">
        <v>10417</v>
      </c>
      <c r="N13" s="645"/>
      <c r="O13" s="645"/>
      <c r="Q13" s="634">
        <v>306707</v>
      </c>
      <c r="R13" s="634"/>
      <c r="T13" s="634">
        <v>306707</v>
      </c>
      <c r="U13" s="634"/>
      <c r="W13" s="634">
        <v>296290</v>
      </c>
      <c r="X13" s="634"/>
    </row>
    <row r="14" spans="1:24">
      <c r="B14" s="644"/>
      <c r="C14" s="644"/>
    </row>
    <row r="15" spans="1:24" ht="15">
      <c r="B15" s="644" t="s">
        <v>870</v>
      </c>
      <c r="C15" s="644"/>
      <c r="E15" s="579">
        <v>148347</v>
      </c>
      <c r="G15" s="579">
        <v>141105</v>
      </c>
      <c r="I15" s="579">
        <v>148347</v>
      </c>
    </row>
    <row r="16" spans="1:24">
      <c r="B16" s="644"/>
      <c r="C16" s="644"/>
    </row>
    <row r="17" spans="2:25" ht="15">
      <c r="B17" s="644" t="s">
        <v>869</v>
      </c>
      <c r="C17" s="644"/>
      <c r="E17" s="579">
        <v>70664</v>
      </c>
      <c r="G17" s="579">
        <v>68637</v>
      </c>
      <c r="I17" s="579">
        <v>70664</v>
      </c>
    </row>
    <row r="18" spans="2:25">
      <c r="B18" s="644"/>
      <c r="C18" s="644"/>
    </row>
    <row r="19" spans="2:25" ht="15">
      <c r="B19" s="644" t="s">
        <v>868</v>
      </c>
      <c r="C19" s="644"/>
      <c r="E19" s="579">
        <v>452524</v>
      </c>
      <c r="G19" s="579">
        <v>428953</v>
      </c>
      <c r="I19" s="579">
        <v>22958</v>
      </c>
      <c r="Q19" s="634">
        <v>429566</v>
      </c>
      <c r="R19" s="634"/>
      <c r="T19" s="634">
        <v>429566</v>
      </c>
      <c r="U19" s="634"/>
      <c r="W19" s="634">
        <v>429566</v>
      </c>
      <c r="X19" s="634"/>
    </row>
    <row r="20" spans="2:25">
      <c r="B20" s="644"/>
      <c r="C20" s="644"/>
    </row>
    <row r="21" spans="2:25" ht="15">
      <c r="B21" s="644" t="s">
        <v>867</v>
      </c>
      <c r="C21" s="644"/>
      <c r="E21" s="579">
        <v>627848</v>
      </c>
      <c r="G21" s="579">
        <v>539898</v>
      </c>
      <c r="I21" s="579">
        <v>493619</v>
      </c>
      <c r="Q21" s="634">
        <v>134229</v>
      </c>
      <c r="R21" s="634"/>
      <c r="T21" s="634">
        <v>134229</v>
      </c>
      <c r="U21" s="634"/>
      <c r="W21" s="634">
        <v>134229</v>
      </c>
      <c r="X21" s="634"/>
    </row>
    <row r="22" spans="2:25">
      <c r="B22" s="644"/>
      <c r="C22" s="644"/>
    </row>
    <row r="23" spans="2:25" ht="15">
      <c r="B23" s="646" t="s">
        <v>866</v>
      </c>
      <c r="C23" s="646"/>
      <c r="E23" s="579">
        <v>397728</v>
      </c>
      <c r="G23" s="579">
        <v>365412</v>
      </c>
      <c r="I23" s="579">
        <v>397728</v>
      </c>
    </row>
    <row r="24" spans="2:25">
      <c r="B24" s="646"/>
      <c r="C24" s="646"/>
    </row>
    <row r="25" spans="2:25" ht="15">
      <c r="B25" s="644" t="s">
        <v>865</v>
      </c>
      <c r="C25" s="644"/>
      <c r="E25" s="579">
        <v>59691</v>
      </c>
      <c r="G25" s="579">
        <v>59438</v>
      </c>
      <c r="M25" s="645">
        <v>9158</v>
      </c>
      <c r="N25" s="645"/>
      <c r="O25" s="645"/>
      <c r="Q25" s="634">
        <v>59691</v>
      </c>
      <c r="R25" s="634"/>
      <c r="T25" s="634">
        <v>59691</v>
      </c>
      <c r="U25" s="634"/>
      <c r="W25" s="634">
        <v>50533</v>
      </c>
      <c r="X25" s="634"/>
    </row>
    <row r="26" spans="2:25">
      <c r="B26" s="644"/>
      <c r="C26" s="644"/>
    </row>
    <row r="27" spans="2:25" s="581" customFormat="1" ht="15">
      <c r="B27" s="644" t="s">
        <v>864</v>
      </c>
      <c r="C27" s="644"/>
      <c r="E27" s="582">
        <v>755746</v>
      </c>
      <c r="G27" s="582">
        <v>755746</v>
      </c>
      <c r="I27" s="582">
        <v>755746</v>
      </c>
      <c r="Y27" s="586">
        <f>R27</f>
        <v>0</v>
      </c>
    </row>
    <row r="28" spans="2:25">
      <c r="B28" s="644"/>
      <c r="C28" s="644"/>
    </row>
    <row r="29" spans="2:25" ht="15">
      <c r="B29" s="644" t="s">
        <v>863</v>
      </c>
      <c r="C29" s="644"/>
      <c r="E29" s="579">
        <v>6858425</v>
      </c>
      <c r="G29" s="579">
        <v>6858425</v>
      </c>
      <c r="I29" s="579">
        <v>6858425</v>
      </c>
    </row>
    <row r="30" spans="2:25">
      <c r="B30" s="644"/>
      <c r="C30" s="644"/>
    </row>
    <row r="31" spans="2:25" s="583" customFormat="1" ht="15">
      <c r="B31" s="644" t="s">
        <v>862</v>
      </c>
      <c r="C31" s="644"/>
      <c r="E31" s="584">
        <v>500</v>
      </c>
      <c r="Q31" s="647">
        <v>500</v>
      </c>
      <c r="R31" s="647"/>
      <c r="T31" s="647">
        <v>500</v>
      </c>
      <c r="U31" s="647"/>
      <c r="W31" s="647">
        <v>500</v>
      </c>
      <c r="X31" s="647"/>
      <c r="Y31" s="587">
        <f>Q31</f>
        <v>500</v>
      </c>
    </row>
    <row r="32" spans="2:25">
      <c r="B32" s="644"/>
      <c r="C32" s="644"/>
    </row>
    <row r="33" spans="2:25" s="588" customFormat="1" ht="15">
      <c r="B33" s="644" t="s">
        <v>861</v>
      </c>
      <c r="C33" s="644"/>
      <c r="E33" s="589">
        <v>1099971</v>
      </c>
      <c r="Q33" s="648">
        <v>1099971</v>
      </c>
      <c r="R33" s="648"/>
      <c r="T33" s="648">
        <v>1099971</v>
      </c>
      <c r="U33" s="648"/>
      <c r="W33" s="648">
        <v>1099971</v>
      </c>
      <c r="X33" s="648"/>
      <c r="Y33" s="590">
        <f>Q33</f>
        <v>1099971</v>
      </c>
    </row>
    <row r="34" spans="2:25">
      <c r="B34" s="644"/>
      <c r="C34" s="644"/>
    </row>
    <row r="35" spans="2:25" s="591" customFormat="1" ht="15">
      <c r="B35" s="644" t="s">
        <v>860</v>
      </c>
      <c r="C35" s="644"/>
      <c r="E35" s="592">
        <v>1100041</v>
      </c>
      <c r="Q35" s="649">
        <v>1100041</v>
      </c>
      <c r="R35" s="649"/>
      <c r="T35" s="649">
        <v>1100041</v>
      </c>
      <c r="U35" s="649"/>
      <c r="W35" s="649">
        <v>1100041</v>
      </c>
      <c r="X35" s="649"/>
      <c r="Y35" s="593">
        <f>Q35</f>
        <v>1100041</v>
      </c>
    </row>
    <row r="36" spans="2:25">
      <c r="B36" s="644"/>
      <c r="C36" s="644"/>
    </row>
    <row r="37" spans="2:25" ht="15">
      <c r="B37" s="644" t="s">
        <v>859</v>
      </c>
      <c r="C37" s="644"/>
      <c r="E37" s="579">
        <v>11182301</v>
      </c>
      <c r="G37" s="579">
        <v>11182301</v>
      </c>
      <c r="I37" s="579">
        <v>10089411</v>
      </c>
      <c r="M37" s="645">
        <v>1092890</v>
      </c>
      <c r="N37" s="645"/>
      <c r="O37" s="645"/>
      <c r="Q37" s="634">
        <v>1092890</v>
      </c>
      <c r="R37" s="634"/>
      <c r="T37" s="634">
        <v>1092890</v>
      </c>
      <c r="U37" s="634"/>
    </row>
    <row r="38" spans="2:25">
      <c r="B38" s="644"/>
      <c r="C38" s="644"/>
    </row>
    <row r="39" spans="2:25" ht="15">
      <c r="B39" s="644" t="s">
        <v>858</v>
      </c>
      <c r="C39" s="644"/>
      <c r="E39" s="579">
        <v>2772233</v>
      </c>
      <c r="G39" s="579">
        <v>2746032</v>
      </c>
      <c r="I39" s="579">
        <v>2470752</v>
      </c>
      <c r="M39" s="645">
        <v>275280</v>
      </c>
      <c r="N39" s="645"/>
      <c r="O39" s="645"/>
      <c r="Q39" s="634">
        <v>301481</v>
      </c>
      <c r="R39" s="634"/>
      <c r="T39" s="634">
        <v>301481</v>
      </c>
      <c r="U39" s="634"/>
      <c r="W39" s="634">
        <v>26201</v>
      </c>
      <c r="X39" s="634"/>
    </row>
    <row r="40" spans="2:25">
      <c r="B40" s="644"/>
      <c r="C40" s="644"/>
    </row>
    <row r="41" spans="2:25" ht="15">
      <c r="B41" s="644" t="s">
        <v>857</v>
      </c>
      <c r="C41" s="644"/>
      <c r="E41" s="579">
        <v>2340591</v>
      </c>
      <c r="G41" s="579">
        <v>1945085</v>
      </c>
      <c r="I41" s="579">
        <v>1946737</v>
      </c>
      <c r="Q41" s="634">
        <v>393854</v>
      </c>
      <c r="R41" s="634"/>
      <c r="T41" s="634">
        <v>393854</v>
      </c>
      <c r="U41" s="634"/>
      <c r="W41" s="634">
        <v>393854</v>
      </c>
      <c r="X41" s="634"/>
    </row>
    <row r="42" spans="2:25">
      <c r="B42" s="644"/>
      <c r="C42" s="644"/>
    </row>
    <row r="43" spans="2:25" ht="15">
      <c r="B43" s="644" t="s">
        <v>856</v>
      </c>
      <c r="C43" s="644"/>
      <c r="E43" s="579">
        <v>422177</v>
      </c>
      <c r="G43" s="579">
        <v>364005</v>
      </c>
      <c r="I43" s="579">
        <v>364005</v>
      </c>
      <c r="Q43" s="634">
        <v>58172</v>
      </c>
      <c r="R43" s="634"/>
      <c r="T43" s="634">
        <v>58172</v>
      </c>
      <c r="U43" s="634"/>
      <c r="W43" s="634">
        <v>58172</v>
      </c>
      <c r="X43" s="634"/>
    </row>
    <row r="44" spans="2:25">
      <c r="B44" s="644"/>
      <c r="C44" s="644"/>
    </row>
    <row r="45" spans="2:25" ht="15">
      <c r="B45" s="644" t="s">
        <v>855</v>
      </c>
      <c r="C45" s="644"/>
      <c r="E45" s="579">
        <v>27803</v>
      </c>
      <c r="G45" s="579">
        <v>22923</v>
      </c>
      <c r="I45" s="579">
        <v>22923</v>
      </c>
      <c r="Q45" s="634">
        <v>4880</v>
      </c>
      <c r="R45" s="634"/>
      <c r="T45" s="634">
        <v>4880</v>
      </c>
      <c r="U45" s="634"/>
      <c r="W45" s="634">
        <v>4880</v>
      </c>
      <c r="X45" s="634"/>
    </row>
    <row r="46" spans="2:25">
      <c r="B46" s="644"/>
      <c r="C46" s="644"/>
    </row>
    <row r="47" spans="2:25" ht="15">
      <c r="B47" s="644" t="s">
        <v>854</v>
      </c>
      <c r="C47" s="644"/>
      <c r="E47" s="579">
        <v>1536865</v>
      </c>
      <c r="G47" s="579">
        <v>935272</v>
      </c>
      <c r="I47" s="579">
        <v>935272</v>
      </c>
      <c r="Q47" s="634">
        <v>601593</v>
      </c>
      <c r="R47" s="634"/>
      <c r="T47" s="634">
        <v>601593</v>
      </c>
      <c r="U47" s="634"/>
      <c r="W47" s="634">
        <v>601593</v>
      </c>
      <c r="X47" s="634"/>
    </row>
    <row r="48" spans="2:25">
      <c r="B48" s="644"/>
      <c r="C48" s="644"/>
    </row>
    <row r="49" spans="2:24" ht="15">
      <c r="B49" s="644" t="s">
        <v>853</v>
      </c>
      <c r="C49" s="644"/>
      <c r="E49" s="579">
        <v>34974</v>
      </c>
      <c r="G49" s="579">
        <v>34974</v>
      </c>
      <c r="I49" s="579">
        <v>34974</v>
      </c>
    </row>
    <row r="50" spans="2:24">
      <c r="B50" s="644"/>
      <c r="C50" s="644"/>
    </row>
    <row r="51" spans="2:24" ht="15">
      <c r="B51" s="644" t="s">
        <v>852</v>
      </c>
      <c r="C51" s="644"/>
      <c r="E51" s="579">
        <v>88938</v>
      </c>
      <c r="G51" s="579">
        <v>77530</v>
      </c>
      <c r="I51" s="579">
        <v>77530</v>
      </c>
      <c r="Q51" s="634">
        <v>11408</v>
      </c>
      <c r="R51" s="634"/>
      <c r="T51" s="634">
        <v>11408</v>
      </c>
      <c r="U51" s="634"/>
      <c r="W51" s="634">
        <v>11408</v>
      </c>
      <c r="X51" s="634"/>
    </row>
    <row r="52" spans="2:24">
      <c r="B52" s="644"/>
      <c r="C52" s="644"/>
    </row>
    <row r="53" spans="2:24" ht="15">
      <c r="B53" s="644" t="s">
        <v>851</v>
      </c>
      <c r="C53" s="644"/>
      <c r="E53" s="579">
        <v>13845</v>
      </c>
      <c r="G53" s="579">
        <v>11678</v>
      </c>
      <c r="I53" s="579">
        <v>11678</v>
      </c>
      <c r="Q53" s="634">
        <v>2167</v>
      </c>
      <c r="R53" s="634"/>
      <c r="T53" s="634">
        <v>2167</v>
      </c>
      <c r="U53" s="634"/>
      <c r="W53" s="634">
        <v>2167</v>
      </c>
      <c r="X53" s="634"/>
    </row>
    <row r="54" spans="2:24">
      <c r="B54" s="644"/>
      <c r="C54" s="644"/>
    </row>
    <row r="55" spans="2:24" ht="15">
      <c r="B55" s="644" t="s">
        <v>850</v>
      </c>
      <c r="C55" s="644"/>
      <c r="E55" s="579">
        <v>94300</v>
      </c>
      <c r="G55" s="579">
        <v>81000</v>
      </c>
      <c r="I55" s="579">
        <v>81000</v>
      </c>
      <c r="Q55" s="634">
        <v>13300</v>
      </c>
      <c r="R55" s="634"/>
      <c r="T55" s="634">
        <v>13300</v>
      </c>
      <c r="U55" s="634"/>
      <c r="W55" s="634">
        <v>13300</v>
      </c>
      <c r="X55" s="634"/>
    </row>
    <row r="56" spans="2:24">
      <c r="B56" s="644"/>
      <c r="C56" s="644"/>
    </row>
    <row r="57" spans="2:24" ht="15">
      <c r="B57" s="644" t="s">
        <v>849</v>
      </c>
      <c r="C57" s="644"/>
      <c r="E57" s="579">
        <v>241342</v>
      </c>
      <c r="I57" s="579">
        <v>200800</v>
      </c>
      <c r="Q57" s="634">
        <v>40542</v>
      </c>
      <c r="R57" s="634"/>
      <c r="T57" s="634">
        <v>40542</v>
      </c>
      <c r="U57" s="634"/>
      <c r="W57" s="634">
        <v>40542</v>
      </c>
      <c r="X57" s="634"/>
    </row>
    <row r="58" spans="2:24">
      <c r="B58" s="644"/>
      <c r="C58" s="644"/>
    </row>
    <row r="59" spans="2:24" ht="15">
      <c r="B59" s="644" t="s">
        <v>848</v>
      </c>
      <c r="C59" s="644"/>
      <c r="E59" s="579">
        <v>1431121</v>
      </c>
      <c r="G59" s="579">
        <v>1191631</v>
      </c>
      <c r="I59" s="579">
        <v>1191631</v>
      </c>
      <c r="Q59" s="634">
        <v>239490</v>
      </c>
      <c r="R59" s="634"/>
      <c r="T59" s="634">
        <v>239490</v>
      </c>
      <c r="U59" s="634"/>
      <c r="W59" s="634">
        <v>239490</v>
      </c>
      <c r="X59" s="634"/>
    </row>
    <row r="60" spans="2:24">
      <c r="B60" s="644"/>
      <c r="C60" s="644"/>
    </row>
    <row r="61" spans="2:24" ht="15">
      <c r="B61" s="644" t="s">
        <v>847</v>
      </c>
      <c r="C61" s="644"/>
      <c r="E61" s="579">
        <v>590740</v>
      </c>
      <c r="G61" s="579">
        <v>590740</v>
      </c>
      <c r="I61" s="579">
        <v>590740</v>
      </c>
    </row>
    <row r="62" spans="2:24">
      <c r="B62" s="644"/>
      <c r="C62" s="644"/>
    </row>
    <row r="63" spans="2:24" ht="15">
      <c r="B63" s="644" t="s">
        <v>846</v>
      </c>
      <c r="C63" s="644"/>
      <c r="E63" s="579">
        <v>142080</v>
      </c>
      <c r="G63" s="579">
        <v>142080</v>
      </c>
      <c r="I63" s="579">
        <v>142080</v>
      </c>
    </row>
    <row r="64" spans="2:24">
      <c r="B64" s="644"/>
      <c r="C64" s="644"/>
    </row>
    <row r="65" spans="2:24" ht="15">
      <c r="B65" s="644" t="s">
        <v>845</v>
      </c>
      <c r="C65" s="644"/>
      <c r="E65" s="579">
        <v>991613</v>
      </c>
      <c r="G65" s="579">
        <v>752939</v>
      </c>
      <c r="I65" s="579">
        <v>762425</v>
      </c>
      <c r="Q65" s="634">
        <v>229188</v>
      </c>
      <c r="R65" s="634"/>
      <c r="T65" s="634">
        <v>229188</v>
      </c>
      <c r="U65" s="634"/>
      <c r="W65" s="634">
        <v>229188</v>
      </c>
      <c r="X65" s="634"/>
    </row>
    <row r="66" spans="2:24">
      <c r="B66" s="644"/>
      <c r="C66" s="644"/>
    </row>
    <row r="67" spans="2:24" ht="15">
      <c r="B67" s="644" t="s">
        <v>844</v>
      </c>
      <c r="C67" s="644"/>
      <c r="E67" s="579">
        <v>24000</v>
      </c>
      <c r="G67" s="579">
        <v>16800</v>
      </c>
      <c r="I67" s="579">
        <v>24000</v>
      </c>
    </row>
    <row r="68" spans="2:24">
      <c r="B68" s="644"/>
      <c r="C68" s="644"/>
    </row>
    <row r="69" spans="2:24" ht="15">
      <c r="B69" s="644" t="s">
        <v>843</v>
      </c>
      <c r="C69" s="644"/>
      <c r="E69" s="579">
        <v>37800</v>
      </c>
      <c r="G69" s="579">
        <v>26460</v>
      </c>
      <c r="I69" s="579">
        <v>37800</v>
      </c>
    </row>
    <row r="70" spans="2:24">
      <c r="B70" s="644"/>
      <c r="C70" s="644"/>
    </row>
    <row r="71" spans="2:24" ht="15">
      <c r="B71" s="644" t="s">
        <v>842</v>
      </c>
      <c r="C71" s="644"/>
      <c r="E71" s="579">
        <v>38400</v>
      </c>
      <c r="G71" s="579">
        <v>26884</v>
      </c>
      <c r="I71" s="579">
        <v>38400</v>
      </c>
    </row>
    <row r="72" spans="2:24">
      <c r="B72" s="644"/>
      <c r="C72" s="644"/>
    </row>
    <row r="73" spans="2:24" ht="15">
      <c r="B73" s="644" t="s">
        <v>841</v>
      </c>
      <c r="C73" s="644"/>
      <c r="E73" s="579">
        <v>79000</v>
      </c>
      <c r="G73" s="579">
        <v>55308</v>
      </c>
      <c r="I73" s="579">
        <v>79000</v>
      </c>
    </row>
    <row r="74" spans="2:24">
      <c r="B74" s="644"/>
      <c r="C74" s="644"/>
    </row>
    <row r="75" spans="2:24" ht="15">
      <c r="B75" s="644" t="s">
        <v>840</v>
      </c>
      <c r="C75" s="644"/>
      <c r="E75" s="579">
        <v>14300</v>
      </c>
      <c r="G75" s="579">
        <v>10010</v>
      </c>
      <c r="I75" s="579">
        <v>14300</v>
      </c>
    </row>
    <row r="76" spans="2:24">
      <c r="B76" s="644"/>
      <c r="C76" s="644"/>
    </row>
    <row r="77" spans="2:24" ht="15">
      <c r="B77" s="644" t="s">
        <v>839</v>
      </c>
      <c r="C77" s="644"/>
      <c r="E77" s="579">
        <v>81000</v>
      </c>
      <c r="G77" s="579">
        <v>56712</v>
      </c>
      <c r="I77" s="579">
        <v>81000</v>
      </c>
    </row>
    <row r="78" spans="2:24">
      <c r="B78" s="644"/>
      <c r="C78" s="644"/>
    </row>
    <row r="79" spans="2:24" ht="15">
      <c r="B79" s="644" t="s">
        <v>838</v>
      </c>
      <c r="C79" s="644"/>
      <c r="E79" s="579">
        <v>30600</v>
      </c>
      <c r="G79" s="579">
        <v>21424</v>
      </c>
      <c r="I79" s="579">
        <v>30600</v>
      </c>
    </row>
    <row r="80" spans="2:24">
      <c r="B80" s="644"/>
      <c r="C80" s="644"/>
    </row>
    <row r="81" spans="2:24" ht="15">
      <c r="B81" s="644" t="s">
        <v>837</v>
      </c>
      <c r="C81" s="644"/>
      <c r="E81" s="579">
        <v>27000</v>
      </c>
      <c r="G81" s="579">
        <v>18907</v>
      </c>
      <c r="I81" s="579">
        <v>27000</v>
      </c>
    </row>
    <row r="82" spans="2:24">
      <c r="B82" s="644"/>
      <c r="C82" s="644"/>
    </row>
    <row r="83" spans="2:24" ht="15">
      <c r="B83" s="644" t="s">
        <v>836</v>
      </c>
      <c r="C83" s="644"/>
      <c r="E83" s="579">
        <v>145600</v>
      </c>
      <c r="G83" s="579">
        <v>101376</v>
      </c>
      <c r="I83" s="579">
        <v>145600</v>
      </c>
    </row>
    <row r="84" spans="2:24">
      <c r="B84" s="644"/>
      <c r="C84" s="644"/>
    </row>
    <row r="85" spans="2:24" ht="15">
      <c r="B85" s="644" t="s">
        <v>835</v>
      </c>
      <c r="C85" s="644"/>
      <c r="E85" s="579">
        <v>133169</v>
      </c>
      <c r="I85" s="579">
        <v>133169</v>
      </c>
    </row>
    <row r="86" spans="2:24">
      <c r="B86" s="644"/>
      <c r="C86" s="644"/>
    </row>
    <row r="87" spans="2:24" ht="15">
      <c r="B87" s="644" t="s">
        <v>834</v>
      </c>
      <c r="C87" s="644"/>
      <c r="E87" s="579">
        <v>41650</v>
      </c>
      <c r="G87" s="579">
        <v>29167</v>
      </c>
      <c r="I87" s="579">
        <v>41650</v>
      </c>
    </row>
    <row r="88" spans="2:24">
      <c r="B88" s="644"/>
      <c r="C88" s="644"/>
    </row>
    <row r="89" spans="2:24" ht="15">
      <c r="B89" s="644" t="s">
        <v>833</v>
      </c>
      <c r="C89" s="644"/>
      <c r="E89" s="579">
        <v>102985</v>
      </c>
      <c r="G89" s="579">
        <v>48516</v>
      </c>
      <c r="I89" s="579">
        <v>102985</v>
      </c>
    </row>
    <row r="90" spans="2:24">
      <c r="B90" s="644"/>
      <c r="C90" s="644"/>
    </row>
    <row r="91" spans="2:24" ht="15">
      <c r="B91" s="644" t="s">
        <v>832</v>
      </c>
      <c r="C91" s="644"/>
      <c r="E91" s="579">
        <v>37464</v>
      </c>
      <c r="G91" s="579">
        <v>33324</v>
      </c>
      <c r="I91" s="579">
        <v>37464</v>
      </c>
    </row>
    <row r="92" spans="2:24">
      <c r="B92" s="644"/>
      <c r="C92" s="644"/>
    </row>
    <row r="93" spans="2:24" ht="15">
      <c r="B93" s="644" t="s">
        <v>831</v>
      </c>
      <c r="C93" s="644"/>
      <c r="E93" s="579">
        <v>33800</v>
      </c>
      <c r="I93" s="579">
        <v>33800</v>
      </c>
    </row>
    <row r="94" spans="2:24">
      <c r="B94" s="644"/>
      <c r="C94" s="644"/>
    </row>
    <row r="95" spans="2:24" ht="15">
      <c r="B95" s="644" t="s">
        <v>830</v>
      </c>
      <c r="C95" s="644"/>
      <c r="E95" s="579">
        <v>32000</v>
      </c>
      <c r="Q95" s="634">
        <v>32000</v>
      </c>
      <c r="R95" s="634"/>
      <c r="T95" s="634">
        <v>32000</v>
      </c>
      <c r="U95" s="634"/>
      <c r="W95" s="634">
        <v>32000</v>
      </c>
      <c r="X95" s="634"/>
    </row>
    <row r="96" spans="2:24">
      <c r="B96" s="644"/>
      <c r="C96" s="644"/>
    </row>
    <row r="97" spans="2:24" ht="15">
      <c r="B97" s="644" t="s">
        <v>829</v>
      </c>
      <c r="C97" s="644"/>
      <c r="E97" s="579">
        <v>227251</v>
      </c>
      <c r="Q97" s="634">
        <v>227251</v>
      </c>
      <c r="R97" s="634"/>
      <c r="T97" s="634">
        <v>227251</v>
      </c>
      <c r="U97" s="634"/>
      <c r="W97" s="634">
        <v>227251</v>
      </c>
      <c r="X97" s="634"/>
    </row>
    <row r="98" spans="2:24">
      <c r="B98" s="644"/>
      <c r="C98" s="644"/>
    </row>
    <row r="99" spans="2:24" ht="15">
      <c r="B99" s="644" t="s">
        <v>828</v>
      </c>
      <c r="C99" s="644"/>
      <c r="E99" s="579">
        <v>11500</v>
      </c>
      <c r="G99" s="579">
        <v>11500</v>
      </c>
      <c r="I99" s="579">
        <v>11500</v>
      </c>
    </row>
    <row r="100" spans="2:24">
      <c r="B100" s="644"/>
      <c r="C100" s="644"/>
    </row>
    <row r="101" spans="2:24" ht="15">
      <c r="B101" s="644" t="s">
        <v>827</v>
      </c>
      <c r="C101" s="644"/>
      <c r="E101" s="579">
        <v>97854</v>
      </c>
      <c r="Q101" s="634">
        <v>97854</v>
      </c>
      <c r="R101" s="634"/>
      <c r="T101" s="634">
        <v>97854</v>
      </c>
      <c r="U101" s="634"/>
      <c r="W101" s="634">
        <v>97854</v>
      </c>
      <c r="X101" s="634"/>
    </row>
    <row r="102" spans="2:24">
      <c r="B102" s="644"/>
      <c r="C102" s="644"/>
    </row>
    <row r="103" spans="2:24">
      <c r="B103" s="644"/>
      <c r="C103" s="644"/>
    </row>
    <row r="104" spans="2:24" ht="15">
      <c r="B104" s="644" t="s">
        <v>826</v>
      </c>
      <c r="C104" s="644"/>
      <c r="E104" s="579">
        <v>2818347</v>
      </c>
      <c r="G104" s="579">
        <v>2614779</v>
      </c>
      <c r="I104" s="579">
        <v>2625786</v>
      </c>
      <c r="M104" s="645">
        <v>22409</v>
      </c>
      <c r="N104" s="645"/>
      <c r="O104" s="645"/>
      <c r="Q104" s="634">
        <v>192561</v>
      </c>
      <c r="R104" s="634"/>
      <c r="T104" s="634">
        <v>192561</v>
      </c>
      <c r="U104" s="634"/>
      <c r="W104" s="634">
        <v>170152</v>
      </c>
      <c r="X104" s="634"/>
    </row>
    <row r="105" spans="2:24">
      <c r="B105" s="644"/>
      <c r="C105" s="644"/>
    </row>
    <row r="106" spans="2:24" ht="15">
      <c r="B106" s="644" t="s">
        <v>825</v>
      </c>
      <c r="C106" s="644"/>
      <c r="E106" s="579">
        <v>140909</v>
      </c>
      <c r="G106" s="579">
        <v>140909</v>
      </c>
      <c r="I106" s="579">
        <v>140909</v>
      </c>
    </row>
    <row r="107" spans="2:24">
      <c r="B107" s="644"/>
      <c r="C107" s="644"/>
    </row>
    <row r="108" spans="2:24" ht="15">
      <c r="B108" s="644" t="s">
        <v>824</v>
      </c>
      <c r="C108" s="644"/>
      <c r="E108" s="579">
        <v>213800</v>
      </c>
      <c r="G108" s="579">
        <v>210953</v>
      </c>
      <c r="I108" s="579">
        <v>213800</v>
      </c>
    </row>
    <row r="109" spans="2:24">
      <c r="B109" s="644"/>
      <c r="C109" s="644"/>
    </row>
    <row r="110" spans="2:24">
      <c r="B110" s="644"/>
      <c r="C110" s="644"/>
    </row>
    <row r="111" spans="2:24" ht="15">
      <c r="B111" s="644" t="s">
        <v>823</v>
      </c>
      <c r="C111" s="644"/>
      <c r="E111" s="579">
        <v>36025</v>
      </c>
      <c r="G111" s="579">
        <v>35280</v>
      </c>
      <c r="I111" s="579">
        <v>36025</v>
      </c>
    </row>
    <row r="112" spans="2:24">
      <c r="B112" s="644"/>
      <c r="C112" s="644"/>
    </row>
    <row r="113" spans="2:24" ht="15">
      <c r="B113" s="644" t="s">
        <v>822</v>
      </c>
      <c r="C113" s="644"/>
      <c r="E113" s="579">
        <v>200000</v>
      </c>
      <c r="G113" s="579">
        <v>199947</v>
      </c>
      <c r="I113" s="579">
        <v>200000</v>
      </c>
    </row>
    <row r="114" spans="2:24">
      <c r="B114" s="644"/>
      <c r="C114" s="644"/>
    </row>
    <row r="115" spans="2:24">
      <c r="B115" s="644"/>
      <c r="C115" s="644"/>
    </row>
    <row r="116" spans="2:24" ht="15">
      <c r="B116" s="644" t="s">
        <v>821</v>
      </c>
      <c r="C116" s="644"/>
      <c r="E116" s="579">
        <v>9692</v>
      </c>
      <c r="G116" s="579">
        <v>6332</v>
      </c>
      <c r="I116" s="579">
        <v>9692</v>
      </c>
    </row>
    <row r="117" spans="2:24">
      <c r="B117" s="644"/>
      <c r="C117" s="644"/>
    </row>
    <row r="118" spans="2:24" ht="15">
      <c r="B118" s="644" t="s">
        <v>820</v>
      </c>
      <c r="C118" s="644"/>
      <c r="E118" s="579">
        <v>1152034</v>
      </c>
      <c r="G118" s="579">
        <v>1147849</v>
      </c>
      <c r="I118" s="579">
        <v>1142434</v>
      </c>
      <c r="M118" s="645">
        <v>7478</v>
      </c>
      <c r="N118" s="645"/>
      <c r="O118" s="645"/>
      <c r="Q118" s="634">
        <v>9600</v>
      </c>
      <c r="R118" s="634"/>
      <c r="T118" s="634">
        <v>9600</v>
      </c>
      <c r="U118" s="634"/>
      <c r="W118" s="634">
        <v>2122</v>
      </c>
      <c r="X118" s="634"/>
    </row>
    <row r="119" spans="2:24">
      <c r="B119" s="644"/>
      <c r="C119" s="644"/>
    </row>
    <row r="120" spans="2:24" ht="15">
      <c r="B120" s="644" t="s">
        <v>819</v>
      </c>
      <c r="C120" s="644"/>
      <c r="E120" s="579">
        <v>4055</v>
      </c>
      <c r="I120" s="579">
        <v>4055</v>
      </c>
    </row>
    <row r="121" spans="2:24">
      <c r="B121" s="644"/>
      <c r="C121" s="644"/>
    </row>
    <row r="122" spans="2:24">
      <c r="B122" s="644"/>
      <c r="C122" s="644"/>
    </row>
    <row r="123" spans="2:24" ht="15">
      <c r="B123" s="644" t="s">
        <v>818</v>
      </c>
      <c r="C123" s="644"/>
      <c r="E123" s="579">
        <v>7973190</v>
      </c>
      <c r="G123" s="579">
        <v>6174315</v>
      </c>
      <c r="I123" s="579">
        <v>6174315</v>
      </c>
      <c r="Q123" s="634">
        <v>1798875</v>
      </c>
      <c r="R123" s="634"/>
      <c r="T123" s="634">
        <v>1798875</v>
      </c>
      <c r="U123" s="634"/>
      <c r="W123" s="634">
        <v>1798875</v>
      </c>
      <c r="X123" s="634"/>
    </row>
    <row r="124" spans="2:24">
      <c r="B124" s="644"/>
      <c r="C124" s="644"/>
    </row>
    <row r="125" spans="2:24" ht="15">
      <c r="B125" s="644" t="s">
        <v>817</v>
      </c>
      <c r="C125" s="644"/>
      <c r="E125" s="579">
        <v>535816</v>
      </c>
      <c r="G125" s="579">
        <v>504301</v>
      </c>
      <c r="I125" s="579">
        <v>511816</v>
      </c>
      <c r="Q125" s="634">
        <v>24000</v>
      </c>
      <c r="R125" s="634"/>
      <c r="T125" s="634">
        <v>24000</v>
      </c>
      <c r="U125" s="634"/>
      <c r="W125" s="634">
        <v>24000</v>
      </c>
      <c r="X125" s="634"/>
    </row>
    <row r="126" spans="2:24">
      <c r="B126" s="644"/>
      <c r="C126" s="644"/>
    </row>
    <row r="127" spans="2:24" ht="15">
      <c r="B127" s="644" t="s">
        <v>816</v>
      </c>
      <c r="C127" s="644"/>
      <c r="E127" s="579">
        <v>1041996</v>
      </c>
      <c r="G127" s="579">
        <v>407241</v>
      </c>
      <c r="I127" s="579">
        <v>408445</v>
      </c>
      <c r="Q127" s="634">
        <v>633551</v>
      </c>
      <c r="R127" s="634"/>
      <c r="T127" s="634">
        <v>633551</v>
      </c>
      <c r="U127" s="634"/>
      <c r="W127" s="634">
        <v>633551</v>
      </c>
      <c r="X127" s="634"/>
    </row>
    <row r="128" spans="2:24">
      <c r="B128" s="644"/>
      <c r="C128" s="644"/>
    </row>
    <row r="129" spans="2:24" ht="15">
      <c r="B129" s="644" t="s">
        <v>815</v>
      </c>
      <c r="C129" s="644"/>
      <c r="E129" s="579">
        <v>648374</v>
      </c>
      <c r="G129" s="579">
        <v>520084</v>
      </c>
      <c r="I129" s="579">
        <v>523505</v>
      </c>
      <c r="Q129" s="634">
        <v>124869</v>
      </c>
      <c r="R129" s="634"/>
      <c r="T129" s="634">
        <v>124869</v>
      </c>
      <c r="U129" s="634"/>
      <c r="W129" s="634">
        <v>124869</v>
      </c>
      <c r="X129" s="634"/>
    </row>
    <row r="130" spans="2:24">
      <c r="B130" s="644"/>
      <c r="C130" s="644"/>
    </row>
    <row r="131" spans="2:24" ht="15">
      <c r="B131" s="644" t="s">
        <v>814</v>
      </c>
      <c r="C131" s="644"/>
      <c r="E131" s="579">
        <v>1169710</v>
      </c>
      <c r="G131" s="579">
        <v>1148274</v>
      </c>
      <c r="I131" s="579">
        <v>1169710</v>
      </c>
    </row>
    <row r="132" spans="2:24">
      <c r="B132" s="644"/>
      <c r="C132" s="644"/>
    </row>
    <row r="133" spans="2:24" ht="15">
      <c r="B133" s="644" t="s">
        <v>813</v>
      </c>
      <c r="C133" s="644"/>
      <c r="E133" s="579">
        <v>698988</v>
      </c>
      <c r="G133" s="579">
        <v>502483</v>
      </c>
      <c r="I133" s="579">
        <v>698988</v>
      </c>
    </row>
    <row r="134" spans="2:24">
      <c r="B134" s="644"/>
      <c r="C134" s="644"/>
    </row>
    <row r="135" spans="2:24">
      <c r="B135" s="644"/>
      <c r="C135" s="644"/>
    </row>
    <row r="136" spans="2:24" ht="15">
      <c r="B136" s="644" t="s">
        <v>812</v>
      </c>
      <c r="C136" s="644"/>
      <c r="E136" s="579">
        <v>7105</v>
      </c>
      <c r="G136" s="579">
        <v>7105</v>
      </c>
      <c r="I136" s="579">
        <v>7105</v>
      </c>
    </row>
    <row r="137" spans="2:24">
      <c r="B137" s="644"/>
      <c r="C137" s="644"/>
    </row>
    <row r="138" spans="2:24" ht="15">
      <c r="B138" s="644" t="s">
        <v>811</v>
      </c>
      <c r="C138" s="644"/>
      <c r="E138" s="579">
        <v>1044514</v>
      </c>
      <c r="G138" s="579">
        <v>385583</v>
      </c>
      <c r="I138" s="579">
        <v>385583</v>
      </c>
      <c r="Q138" s="634">
        <v>658931</v>
      </c>
      <c r="R138" s="634"/>
      <c r="T138" s="634">
        <v>658931</v>
      </c>
      <c r="U138" s="634"/>
      <c r="W138" s="634">
        <v>658931</v>
      </c>
      <c r="X138" s="634"/>
    </row>
    <row r="139" spans="2:24">
      <c r="B139" s="644"/>
      <c r="C139" s="644"/>
    </row>
    <row r="140" spans="2:24">
      <c r="B140" s="644"/>
      <c r="C140" s="644"/>
    </row>
    <row r="141" spans="2:24" ht="15">
      <c r="B141" s="644" t="s">
        <v>810</v>
      </c>
      <c r="C141" s="644"/>
      <c r="E141" s="579">
        <v>473044</v>
      </c>
      <c r="G141" s="579">
        <v>469901</v>
      </c>
      <c r="I141" s="579">
        <v>473044</v>
      </c>
    </row>
    <row r="142" spans="2:24">
      <c r="B142" s="644"/>
      <c r="C142" s="644"/>
    </row>
    <row r="143" spans="2:24" ht="15">
      <c r="B143" s="644" t="s">
        <v>809</v>
      </c>
      <c r="C143" s="644"/>
      <c r="E143" s="579">
        <v>155351</v>
      </c>
      <c r="G143" s="579">
        <v>72400</v>
      </c>
      <c r="I143" s="579">
        <v>72400</v>
      </c>
      <c r="Q143" s="634">
        <v>82951</v>
      </c>
      <c r="R143" s="634"/>
      <c r="T143" s="634">
        <v>82951</v>
      </c>
      <c r="U143" s="634"/>
      <c r="W143" s="634">
        <v>82951</v>
      </c>
      <c r="X143" s="634"/>
    </row>
    <row r="144" spans="2:24">
      <c r="B144" s="644"/>
      <c r="C144" s="644"/>
    </row>
    <row r="145" spans="2:24" ht="15">
      <c r="B145" s="644" t="s">
        <v>808</v>
      </c>
      <c r="C145" s="644"/>
      <c r="E145" s="579">
        <v>2031317</v>
      </c>
      <c r="G145" s="579">
        <v>1961754</v>
      </c>
      <c r="I145" s="579">
        <v>2031317</v>
      </c>
    </row>
    <row r="146" spans="2:24">
      <c r="B146" s="644"/>
      <c r="C146" s="644"/>
    </row>
    <row r="147" spans="2:24" ht="15">
      <c r="B147" s="644" t="s">
        <v>807</v>
      </c>
      <c r="C147" s="644"/>
      <c r="E147" s="579">
        <v>962884</v>
      </c>
      <c r="G147" s="579">
        <v>610737</v>
      </c>
      <c r="I147" s="579">
        <v>809273</v>
      </c>
      <c r="Q147" s="634">
        <v>153611</v>
      </c>
      <c r="R147" s="634"/>
      <c r="T147" s="634">
        <v>153611</v>
      </c>
      <c r="U147" s="634"/>
      <c r="W147" s="634">
        <v>153611</v>
      </c>
      <c r="X147" s="634"/>
    </row>
    <row r="148" spans="2:24">
      <c r="B148" s="644"/>
      <c r="C148" s="644"/>
    </row>
    <row r="149" spans="2:24" ht="15">
      <c r="B149" s="644" t="s">
        <v>806</v>
      </c>
      <c r="C149" s="644"/>
      <c r="E149" s="579">
        <v>830917</v>
      </c>
      <c r="I149" s="579">
        <v>830917</v>
      </c>
    </row>
    <row r="150" spans="2:24">
      <c r="B150" s="644"/>
      <c r="C150" s="644"/>
    </row>
    <row r="151" spans="2:24" ht="15">
      <c r="B151" s="644" t="s">
        <v>805</v>
      </c>
      <c r="C151" s="644"/>
      <c r="E151" s="579">
        <v>488094</v>
      </c>
      <c r="G151" s="579">
        <v>288047</v>
      </c>
      <c r="I151" s="579">
        <v>368495</v>
      </c>
      <c r="Q151" s="634">
        <v>119599</v>
      </c>
      <c r="R151" s="634"/>
      <c r="T151" s="634">
        <v>119599</v>
      </c>
      <c r="U151" s="634"/>
      <c r="W151" s="634">
        <v>119599</v>
      </c>
      <c r="X151" s="634"/>
    </row>
    <row r="152" spans="2:24">
      <c r="B152" s="644"/>
      <c r="C152" s="644"/>
    </row>
    <row r="153" spans="2:24" ht="15">
      <c r="B153" s="644" t="s">
        <v>804</v>
      </c>
      <c r="C153" s="644"/>
      <c r="E153" s="579">
        <v>302035</v>
      </c>
      <c r="G153" s="579">
        <v>143574</v>
      </c>
      <c r="I153" s="579">
        <v>302035</v>
      </c>
    </row>
    <row r="154" spans="2:24">
      <c r="B154" s="644"/>
      <c r="C154" s="644"/>
    </row>
    <row r="155" spans="2:24" ht="15">
      <c r="B155" s="644" t="s">
        <v>803</v>
      </c>
      <c r="C155" s="644"/>
      <c r="E155" s="579">
        <v>493619</v>
      </c>
      <c r="I155" s="579">
        <v>493619</v>
      </c>
    </row>
    <row r="156" spans="2:24">
      <c r="B156" s="644"/>
      <c r="C156" s="644"/>
    </row>
    <row r="157" spans="2:24" ht="15">
      <c r="B157" s="644" t="s">
        <v>802</v>
      </c>
      <c r="C157" s="644"/>
      <c r="E157" s="579">
        <v>2241748</v>
      </c>
      <c r="G157" s="579">
        <v>2173389</v>
      </c>
      <c r="I157" s="579">
        <v>2241748</v>
      </c>
    </row>
    <row r="158" spans="2:24">
      <c r="B158" s="644"/>
      <c r="C158" s="644"/>
    </row>
    <row r="159" spans="2:24" ht="15">
      <c r="B159" s="644" t="s">
        <v>801</v>
      </c>
      <c r="C159" s="644"/>
      <c r="E159" s="579">
        <v>41219331</v>
      </c>
      <c r="G159" s="579">
        <v>41071862</v>
      </c>
      <c r="I159" s="579">
        <v>41071862</v>
      </c>
      <c r="Q159" s="634">
        <v>147469</v>
      </c>
      <c r="R159" s="634"/>
      <c r="T159" s="634">
        <v>147469</v>
      </c>
      <c r="U159" s="634"/>
      <c r="W159" s="634">
        <v>147469</v>
      </c>
      <c r="X159" s="634"/>
    </row>
    <row r="160" spans="2:24">
      <c r="B160" s="644"/>
      <c r="C160" s="644"/>
    </row>
    <row r="161" spans="2:25" s="594" customFormat="1" ht="15">
      <c r="B161" s="650" t="s">
        <v>800</v>
      </c>
      <c r="C161" s="650"/>
      <c r="E161" s="595">
        <v>249900</v>
      </c>
      <c r="Q161" s="651">
        <v>249900</v>
      </c>
      <c r="R161" s="651"/>
      <c r="T161" s="651">
        <v>249900</v>
      </c>
      <c r="U161" s="651"/>
      <c r="W161" s="651">
        <v>249900</v>
      </c>
      <c r="X161" s="651"/>
      <c r="Y161" s="596"/>
    </row>
    <row r="162" spans="2:25" s="594" customFormat="1">
      <c r="B162" s="650"/>
      <c r="C162" s="650"/>
      <c r="Y162" s="596"/>
    </row>
    <row r="163" spans="2:25" s="594" customFormat="1" ht="15">
      <c r="B163" s="650" t="s">
        <v>799</v>
      </c>
      <c r="C163" s="650"/>
      <c r="E163" s="595">
        <v>114997</v>
      </c>
      <c r="I163" s="595">
        <v>114997</v>
      </c>
      <c r="Y163" s="596"/>
    </row>
    <row r="164" spans="2:25" s="594" customFormat="1">
      <c r="B164" s="650"/>
      <c r="C164" s="650"/>
      <c r="Y164" s="596"/>
    </row>
    <row r="165" spans="2:25" s="594" customFormat="1" ht="15">
      <c r="B165" s="650" t="s">
        <v>798</v>
      </c>
      <c r="C165" s="650"/>
      <c r="E165" s="595">
        <v>247617</v>
      </c>
      <c r="I165" s="595">
        <v>247617</v>
      </c>
      <c r="Y165" s="596"/>
    </row>
    <row r="166" spans="2:25" s="594" customFormat="1">
      <c r="B166" s="650"/>
      <c r="C166" s="650"/>
      <c r="Y166" s="596"/>
    </row>
    <row r="167" spans="2:25" s="594" customFormat="1" ht="15">
      <c r="B167" s="650" t="s">
        <v>797</v>
      </c>
      <c r="C167" s="650"/>
      <c r="E167" s="595">
        <v>73214</v>
      </c>
      <c r="I167" s="595">
        <v>73214</v>
      </c>
      <c r="Y167" s="596"/>
    </row>
    <row r="168" spans="2:25" s="594" customFormat="1">
      <c r="B168" s="650"/>
      <c r="C168" s="650"/>
      <c r="Y168" s="596"/>
    </row>
    <row r="169" spans="2:25" s="594" customFormat="1" ht="15">
      <c r="B169" s="650" t="s">
        <v>796</v>
      </c>
      <c r="C169" s="650"/>
      <c r="E169" s="595">
        <v>2040</v>
      </c>
      <c r="I169" s="595">
        <v>2040</v>
      </c>
      <c r="Y169" s="596"/>
    </row>
    <row r="170" spans="2:25" s="594" customFormat="1">
      <c r="B170" s="650"/>
      <c r="C170" s="650"/>
      <c r="Y170" s="596"/>
    </row>
    <row r="171" spans="2:25" s="594" customFormat="1" ht="15">
      <c r="B171" s="650" t="s">
        <v>795</v>
      </c>
      <c r="C171" s="650"/>
      <c r="E171" s="595">
        <v>217700</v>
      </c>
      <c r="G171" s="595">
        <v>5400</v>
      </c>
      <c r="I171" s="595">
        <v>217700</v>
      </c>
      <c r="Y171" s="596"/>
    </row>
    <row r="172" spans="2:25" s="594" customFormat="1">
      <c r="B172" s="650"/>
      <c r="C172" s="650"/>
      <c r="Y172" s="596"/>
    </row>
    <row r="173" spans="2:25" s="594" customFormat="1" ht="15">
      <c r="B173" s="650" t="s">
        <v>794</v>
      </c>
      <c r="C173" s="650"/>
      <c r="E173" s="595">
        <v>114997</v>
      </c>
      <c r="G173" s="595">
        <v>5000</v>
      </c>
      <c r="I173" s="595">
        <v>5000</v>
      </c>
      <c r="Q173" s="651">
        <v>109997</v>
      </c>
      <c r="R173" s="651"/>
      <c r="T173" s="651">
        <v>109997</v>
      </c>
      <c r="U173" s="651"/>
      <c r="W173" s="651">
        <v>109997</v>
      </c>
      <c r="X173" s="651"/>
      <c r="Y173" s="596"/>
    </row>
    <row r="174" spans="2:25" s="594" customFormat="1">
      <c r="B174" s="650"/>
      <c r="C174" s="650"/>
      <c r="Y174" s="596"/>
    </row>
    <row r="175" spans="2:25" s="594" customFormat="1">
      <c r="B175" s="650"/>
      <c r="C175" s="650"/>
      <c r="Y175" s="596"/>
    </row>
    <row r="176" spans="2:25" s="594" customFormat="1" ht="15">
      <c r="B176" s="650" t="s">
        <v>793</v>
      </c>
      <c r="C176" s="650"/>
      <c r="E176" s="595">
        <v>73214</v>
      </c>
      <c r="G176" s="595">
        <v>3200</v>
      </c>
      <c r="I176" s="595">
        <v>3200</v>
      </c>
      <c r="Q176" s="651">
        <v>70014</v>
      </c>
      <c r="R176" s="651"/>
      <c r="T176" s="651">
        <v>70014</v>
      </c>
      <c r="U176" s="651"/>
      <c r="W176" s="651">
        <v>70014</v>
      </c>
      <c r="X176" s="651"/>
      <c r="Y176" s="596"/>
    </row>
    <row r="177" spans="2:25" s="594" customFormat="1">
      <c r="B177" s="650"/>
      <c r="C177" s="650"/>
      <c r="Y177" s="596"/>
    </row>
    <row r="178" spans="2:25" s="594" customFormat="1">
      <c r="B178" s="650"/>
      <c r="C178" s="650"/>
      <c r="Y178" s="596"/>
    </row>
    <row r="179" spans="2:25" s="594" customFormat="1" ht="15">
      <c r="B179" s="650" t="s">
        <v>792</v>
      </c>
      <c r="C179" s="650"/>
      <c r="E179" s="595">
        <v>212300</v>
      </c>
      <c r="G179" s="595">
        <v>600</v>
      </c>
      <c r="I179" s="595">
        <v>600</v>
      </c>
      <c r="Q179" s="651">
        <v>211700</v>
      </c>
      <c r="R179" s="651"/>
      <c r="T179" s="651">
        <v>211700</v>
      </c>
      <c r="U179" s="651"/>
      <c r="W179" s="651">
        <v>211700</v>
      </c>
      <c r="X179" s="651"/>
      <c r="Y179" s="596"/>
    </row>
    <row r="180" spans="2:25" s="594" customFormat="1">
      <c r="B180" s="650"/>
      <c r="C180" s="650"/>
      <c r="Y180" s="596"/>
    </row>
    <row r="181" spans="2:25" s="594" customFormat="1">
      <c r="B181" s="650"/>
      <c r="C181" s="650"/>
      <c r="Y181" s="596"/>
    </row>
    <row r="182" spans="2:25" s="594" customFormat="1" ht="15">
      <c r="B182" s="650" t="s">
        <v>791</v>
      </c>
      <c r="C182" s="650"/>
      <c r="E182" s="595">
        <v>2040</v>
      </c>
      <c r="Q182" s="651">
        <v>2040</v>
      </c>
      <c r="R182" s="651"/>
      <c r="T182" s="651">
        <v>2040</v>
      </c>
      <c r="U182" s="651"/>
      <c r="W182" s="651">
        <v>2040</v>
      </c>
      <c r="X182" s="651"/>
      <c r="Y182" s="596">
        <f>SUM(Q161:R182)</f>
        <v>643651</v>
      </c>
    </row>
    <row r="183" spans="2:25" s="594" customFormat="1">
      <c r="B183" s="650"/>
      <c r="C183" s="650"/>
      <c r="Y183" s="596"/>
    </row>
    <row r="184" spans="2:25" ht="15">
      <c r="B184" s="644" t="s">
        <v>790</v>
      </c>
      <c r="C184" s="644"/>
      <c r="E184" s="579">
        <v>60000</v>
      </c>
      <c r="Q184" s="634">
        <v>60000</v>
      </c>
      <c r="R184" s="634"/>
      <c r="T184" s="634">
        <v>60000</v>
      </c>
      <c r="U184" s="634"/>
      <c r="W184" s="634">
        <v>60000</v>
      </c>
      <c r="X184" s="634"/>
    </row>
    <row r="185" spans="2:25">
      <c r="B185" s="644"/>
      <c r="C185" s="644"/>
    </row>
    <row r="186" spans="2:25">
      <c r="B186" s="644"/>
      <c r="C186" s="644"/>
    </row>
    <row r="187" spans="2:25" ht="15">
      <c r="B187" s="644" t="s">
        <v>789</v>
      </c>
      <c r="C187" s="644"/>
      <c r="E187" s="579">
        <v>230000</v>
      </c>
      <c r="Q187" s="634">
        <v>230000</v>
      </c>
      <c r="R187" s="634"/>
      <c r="T187" s="634">
        <v>230000</v>
      </c>
      <c r="U187" s="634"/>
      <c r="W187" s="634">
        <v>230000</v>
      </c>
      <c r="X187" s="634"/>
    </row>
    <row r="188" spans="2:25">
      <c r="B188" s="644"/>
      <c r="C188" s="644"/>
    </row>
    <row r="189" spans="2:25" ht="15">
      <c r="B189" s="644" t="s">
        <v>788</v>
      </c>
      <c r="C189" s="644"/>
      <c r="E189" s="579">
        <v>262135</v>
      </c>
      <c r="Q189" s="634">
        <v>262135</v>
      </c>
      <c r="R189" s="634"/>
      <c r="T189" s="634">
        <v>262135</v>
      </c>
      <c r="U189" s="634"/>
      <c r="W189" s="634">
        <v>262135</v>
      </c>
      <c r="X189" s="634"/>
    </row>
    <row r="190" spans="2:25">
      <c r="B190" s="644"/>
      <c r="C190" s="644"/>
    </row>
    <row r="191" spans="2:25">
      <c r="B191" s="644"/>
      <c r="C191" s="644"/>
    </row>
    <row r="192" spans="2:25" ht="15">
      <c r="B192" s="644" t="s">
        <v>787</v>
      </c>
      <c r="C192" s="644"/>
      <c r="E192" s="579">
        <v>43300</v>
      </c>
      <c r="Q192" s="634">
        <v>43300</v>
      </c>
      <c r="R192" s="634"/>
      <c r="T192" s="634">
        <v>43300</v>
      </c>
      <c r="U192" s="634"/>
      <c r="W192" s="634">
        <v>43300</v>
      </c>
      <c r="X192" s="634"/>
    </row>
    <row r="193" spans="2:24">
      <c r="B193" s="644"/>
      <c r="C193" s="644"/>
    </row>
    <row r="194" spans="2:24" ht="15">
      <c r="B194" s="644" t="s">
        <v>786</v>
      </c>
      <c r="C194" s="644"/>
      <c r="E194" s="579">
        <v>25000</v>
      </c>
      <c r="G194" s="579">
        <v>25000</v>
      </c>
      <c r="I194" s="579">
        <v>25000</v>
      </c>
    </row>
    <row r="195" spans="2:24">
      <c r="B195" s="644"/>
      <c r="C195" s="644"/>
    </row>
    <row r="196" spans="2:24">
      <c r="B196" s="644"/>
      <c r="C196" s="644"/>
    </row>
    <row r="197" spans="2:24" ht="15">
      <c r="B197" s="644" t="s">
        <v>785</v>
      </c>
      <c r="C197" s="644"/>
      <c r="E197" s="579">
        <v>45000</v>
      </c>
      <c r="Q197" s="634">
        <v>45000</v>
      </c>
      <c r="R197" s="634"/>
      <c r="T197" s="634">
        <v>45000</v>
      </c>
      <c r="U197" s="634"/>
      <c r="W197" s="634">
        <v>45000</v>
      </c>
      <c r="X197" s="634"/>
    </row>
    <row r="198" spans="2:24">
      <c r="B198" s="644"/>
      <c r="C198" s="644"/>
    </row>
    <row r="199" spans="2:24" ht="15">
      <c r="B199" s="644" t="s">
        <v>784</v>
      </c>
      <c r="C199" s="644"/>
      <c r="E199" s="579">
        <v>211947</v>
      </c>
      <c r="G199" s="579">
        <v>158121</v>
      </c>
      <c r="I199" s="579">
        <v>158121</v>
      </c>
      <c r="Q199" s="634">
        <v>53826</v>
      </c>
      <c r="R199" s="634"/>
      <c r="T199" s="634">
        <v>53826</v>
      </c>
      <c r="U199" s="634"/>
      <c r="W199" s="634">
        <v>53826</v>
      </c>
      <c r="X199" s="634"/>
    </row>
    <row r="200" spans="2:24">
      <c r="B200" s="644"/>
      <c r="C200" s="644"/>
    </row>
    <row r="201" spans="2:24" ht="15">
      <c r="B201" s="644" t="s">
        <v>783</v>
      </c>
      <c r="C201" s="644"/>
      <c r="E201" s="579">
        <v>34099</v>
      </c>
      <c r="G201" s="579">
        <v>34099</v>
      </c>
      <c r="I201" s="579">
        <v>34099</v>
      </c>
    </row>
    <row r="202" spans="2:24">
      <c r="B202" s="644"/>
      <c r="C202" s="644"/>
    </row>
    <row r="203" spans="2:24" ht="15">
      <c r="B203" s="644" t="s">
        <v>782</v>
      </c>
      <c r="C203" s="644"/>
      <c r="E203" s="579">
        <v>200</v>
      </c>
      <c r="G203" s="579">
        <v>200</v>
      </c>
      <c r="I203" s="579">
        <v>200</v>
      </c>
    </row>
    <row r="204" spans="2:24">
      <c r="B204" s="644"/>
      <c r="C204" s="644"/>
    </row>
    <row r="205" spans="2:24" ht="15">
      <c r="B205" s="644" t="s">
        <v>781</v>
      </c>
      <c r="C205" s="644"/>
      <c r="E205" s="579">
        <v>7297</v>
      </c>
      <c r="Q205" s="634">
        <v>7297</v>
      </c>
      <c r="R205" s="634"/>
      <c r="T205" s="634">
        <v>7297</v>
      </c>
      <c r="U205" s="634"/>
      <c r="W205" s="634">
        <v>7297</v>
      </c>
      <c r="X205" s="634"/>
    </row>
    <row r="206" spans="2:24">
      <c r="B206" s="644"/>
      <c r="C206" s="644"/>
    </row>
    <row r="207" spans="2:24" ht="15">
      <c r="B207" s="644" t="s">
        <v>780</v>
      </c>
      <c r="C207" s="644"/>
      <c r="E207" s="579">
        <v>6150</v>
      </c>
      <c r="Q207" s="634">
        <v>6150</v>
      </c>
      <c r="R207" s="634"/>
      <c r="T207" s="634">
        <v>6150</v>
      </c>
      <c r="U207" s="634"/>
      <c r="W207" s="634">
        <v>6150</v>
      </c>
      <c r="X207" s="634"/>
    </row>
    <row r="208" spans="2:24">
      <c r="B208" s="644"/>
      <c r="C208" s="644"/>
    </row>
    <row r="209" spans="2:24" ht="15">
      <c r="B209" s="644" t="s">
        <v>779</v>
      </c>
      <c r="C209" s="644"/>
      <c r="E209" s="579">
        <v>5000</v>
      </c>
      <c r="G209" s="579">
        <v>5000</v>
      </c>
      <c r="I209" s="579">
        <v>5000</v>
      </c>
    </row>
    <row r="210" spans="2:24">
      <c r="B210" s="644"/>
      <c r="C210" s="644"/>
    </row>
    <row r="211" spans="2:24" ht="15">
      <c r="B211" s="644" t="s">
        <v>778</v>
      </c>
      <c r="C211" s="644"/>
      <c r="E211" s="579">
        <v>2717</v>
      </c>
      <c r="Q211" s="634">
        <v>2717</v>
      </c>
      <c r="R211" s="634"/>
      <c r="T211" s="634">
        <v>2717</v>
      </c>
      <c r="U211" s="634"/>
      <c r="W211" s="634">
        <v>2717</v>
      </c>
      <c r="X211" s="634"/>
    </row>
    <row r="212" spans="2:24">
      <c r="B212" s="644"/>
      <c r="C212" s="644"/>
    </row>
    <row r="213" spans="2:24" ht="15">
      <c r="B213" s="644" t="s">
        <v>777</v>
      </c>
      <c r="C213" s="644"/>
      <c r="E213" s="579">
        <v>204335</v>
      </c>
      <c r="G213" s="579">
        <v>204335</v>
      </c>
      <c r="I213" s="579">
        <v>204335</v>
      </c>
    </row>
    <row r="214" spans="2:24">
      <c r="B214" s="644"/>
      <c r="C214" s="644"/>
    </row>
    <row r="215" spans="2:24" ht="15">
      <c r="B215" s="644" t="s">
        <v>776</v>
      </c>
      <c r="C215" s="644"/>
      <c r="E215" s="579">
        <v>364030</v>
      </c>
      <c r="G215" s="579">
        <v>302400</v>
      </c>
      <c r="I215" s="579">
        <v>314880</v>
      </c>
      <c r="Q215" s="634">
        <v>49150</v>
      </c>
      <c r="R215" s="634"/>
      <c r="T215" s="634">
        <v>49150</v>
      </c>
      <c r="U215" s="634"/>
      <c r="W215" s="634">
        <v>49150</v>
      </c>
      <c r="X215" s="634"/>
    </row>
    <row r="216" spans="2:24">
      <c r="B216" s="644"/>
      <c r="C216" s="644"/>
    </row>
    <row r="217" spans="2:24" ht="15">
      <c r="B217" s="644" t="s">
        <v>775</v>
      </c>
      <c r="C217" s="644"/>
      <c r="E217" s="579">
        <v>30000</v>
      </c>
      <c r="G217" s="579">
        <v>30000</v>
      </c>
      <c r="I217" s="579">
        <v>30000</v>
      </c>
    </row>
    <row r="218" spans="2:24">
      <c r="B218" s="644"/>
      <c r="C218" s="644"/>
    </row>
    <row r="219" spans="2:24">
      <c r="B219" s="644"/>
      <c r="C219" s="644"/>
    </row>
    <row r="220" spans="2:24" ht="15">
      <c r="B220" s="644" t="s">
        <v>774</v>
      </c>
      <c r="C220" s="644"/>
      <c r="E220" s="579">
        <v>1260</v>
      </c>
      <c r="Q220" s="634">
        <v>1260</v>
      </c>
      <c r="R220" s="634"/>
      <c r="T220" s="634">
        <v>1260</v>
      </c>
      <c r="U220" s="634"/>
      <c r="W220" s="634">
        <v>1260</v>
      </c>
      <c r="X220" s="634"/>
    </row>
    <row r="221" spans="2:24">
      <c r="B221" s="644"/>
      <c r="C221" s="644"/>
    </row>
    <row r="222" spans="2:24">
      <c r="B222" s="644"/>
      <c r="C222" s="644"/>
    </row>
    <row r="223" spans="2:24" ht="15">
      <c r="B223" s="644" t="s">
        <v>773</v>
      </c>
      <c r="C223" s="644"/>
      <c r="E223" s="579">
        <v>77760</v>
      </c>
      <c r="Q223" s="634">
        <v>77760</v>
      </c>
      <c r="R223" s="634"/>
      <c r="T223" s="634">
        <v>77760</v>
      </c>
      <c r="U223" s="634"/>
      <c r="W223" s="634">
        <v>77760</v>
      </c>
      <c r="X223" s="634"/>
    </row>
    <row r="224" spans="2:24">
      <c r="B224" s="644"/>
      <c r="C224" s="644"/>
    </row>
    <row r="225" spans="2:24">
      <c r="B225" s="644"/>
      <c r="C225" s="644"/>
    </row>
    <row r="226" spans="2:24" ht="15">
      <c r="B226" s="644" t="s">
        <v>772</v>
      </c>
      <c r="C226" s="644"/>
      <c r="E226" s="579">
        <v>8400</v>
      </c>
      <c r="G226" s="579">
        <v>8400</v>
      </c>
      <c r="I226" s="579">
        <v>8400</v>
      </c>
    </row>
    <row r="227" spans="2:24">
      <c r="B227" s="644"/>
      <c r="C227" s="644"/>
    </row>
    <row r="228" spans="2:24" ht="15">
      <c r="B228" s="644" t="s">
        <v>771</v>
      </c>
      <c r="C228" s="644"/>
      <c r="E228" s="579">
        <v>7165</v>
      </c>
      <c r="G228" s="579">
        <v>7165</v>
      </c>
      <c r="I228" s="579">
        <v>7165</v>
      </c>
    </row>
    <row r="229" spans="2:24">
      <c r="B229" s="644"/>
      <c r="C229" s="644"/>
    </row>
    <row r="230" spans="2:24">
      <c r="B230" s="644"/>
      <c r="C230" s="644"/>
    </row>
    <row r="231" spans="2:24" ht="15">
      <c r="B231" s="644" t="s">
        <v>770</v>
      </c>
      <c r="C231" s="644"/>
      <c r="E231" s="579">
        <v>47865</v>
      </c>
      <c r="Q231" s="634">
        <v>47865</v>
      </c>
      <c r="R231" s="634"/>
      <c r="T231" s="634">
        <v>47865</v>
      </c>
      <c r="U231" s="634"/>
      <c r="W231" s="634">
        <v>47865</v>
      </c>
      <c r="X231" s="634"/>
    </row>
    <row r="232" spans="2:24">
      <c r="B232" s="644"/>
      <c r="C232" s="644"/>
    </row>
    <row r="233" spans="2:24">
      <c r="B233" s="644"/>
      <c r="C233" s="644"/>
    </row>
    <row r="234" spans="2:24" ht="15">
      <c r="B234" s="644" t="s">
        <v>769</v>
      </c>
      <c r="C234" s="644"/>
      <c r="E234" s="579">
        <v>123920</v>
      </c>
      <c r="G234" s="579">
        <v>123920</v>
      </c>
      <c r="I234" s="579">
        <v>123920</v>
      </c>
    </row>
    <row r="235" spans="2:24">
      <c r="B235" s="644"/>
      <c r="C235" s="644"/>
    </row>
    <row r="236" spans="2:24">
      <c r="B236" s="644"/>
      <c r="C236" s="644"/>
    </row>
    <row r="237" spans="2:24" ht="15">
      <c r="B237" s="644" t="s">
        <v>768</v>
      </c>
      <c r="C237" s="644"/>
      <c r="E237" s="579">
        <v>9800</v>
      </c>
      <c r="Q237" s="634">
        <v>9800</v>
      </c>
      <c r="R237" s="634"/>
      <c r="T237" s="634">
        <v>9800</v>
      </c>
      <c r="U237" s="634"/>
      <c r="W237" s="634">
        <v>9800</v>
      </c>
      <c r="X237" s="634"/>
    </row>
    <row r="238" spans="2:24">
      <c r="B238" s="644"/>
      <c r="C238" s="644"/>
    </row>
    <row r="239" spans="2:24">
      <c r="B239" s="644"/>
      <c r="C239" s="644"/>
    </row>
    <row r="240" spans="2:24" ht="15">
      <c r="B240" s="644" t="s">
        <v>767</v>
      </c>
      <c r="C240" s="644"/>
      <c r="E240" s="579">
        <v>10000</v>
      </c>
      <c r="Q240" s="634">
        <v>10000</v>
      </c>
      <c r="R240" s="634"/>
      <c r="T240" s="634">
        <v>10000</v>
      </c>
      <c r="U240" s="634"/>
      <c r="W240" s="634">
        <v>10000</v>
      </c>
      <c r="X240" s="634"/>
    </row>
    <row r="241" spans="2:24">
      <c r="B241" s="644"/>
      <c r="C241" s="644"/>
    </row>
    <row r="242" spans="2:24">
      <c r="B242" s="644"/>
      <c r="C242" s="644"/>
    </row>
    <row r="243" spans="2:24" ht="15">
      <c r="B243" s="644" t="s">
        <v>766</v>
      </c>
      <c r="C243" s="644"/>
      <c r="E243" s="579">
        <v>26880</v>
      </c>
      <c r="Q243" s="634">
        <v>26880</v>
      </c>
      <c r="R243" s="634"/>
      <c r="T243" s="634">
        <v>26880</v>
      </c>
      <c r="U243" s="634"/>
      <c r="W243" s="634">
        <v>26880</v>
      </c>
      <c r="X243" s="634"/>
    </row>
    <row r="244" spans="2:24">
      <c r="B244" s="644"/>
      <c r="C244" s="644"/>
    </row>
    <row r="245" spans="2:24">
      <c r="B245" s="644"/>
      <c r="C245" s="644"/>
    </row>
    <row r="246" spans="2:24" ht="15">
      <c r="B246" s="644" t="s">
        <v>765</v>
      </c>
      <c r="C246" s="644"/>
      <c r="E246" s="579">
        <v>5000</v>
      </c>
      <c r="Q246" s="634">
        <v>5000</v>
      </c>
      <c r="R246" s="634"/>
      <c r="T246" s="634">
        <v>5000</v>
      </c>
      <c r="U246" s="634"/>
      <c r="W246" s="634">
        <v>5000</v>
      </c>
      <c r="X246" s="634"/>
    </row>
    <row r="247" spans="2:24">
      <c r="B247" s="644"/>
      <c r="C247" s="644"/>
    </row>
    <row r="248" spans="2:24">
      <c r="B248" s="644"/>
      <c r="C248" s="644"/>
    </row>
    <row r="249" spans="2:24" ht="15">
      <c r="B249" s="644" t="s">
        <v>764</v>
      </c>
      <c r="C249" s="644"/>
      <c r="E249" s="579">
        <v>4000</v>
      </c>
      <c r="Q249" s="634">
        <v>4000</v>
      </c>
      <c r="R249" s="634"/>
      <c r="T249" s="634">
        <v>4000</v>
      </c>
      <c r="U249" s="634"/>
      <c r="W249" s="634">
        <v>4000</v>
      </c>
      <c r="X249" s="634"/>
    </row>
    <row r="250" spans="2:24">
      <c r="B250" s="644"/>
      <c r="C250" s="644"/>
    </row>
    <row r="251" spans="2:24">
      <c r="B251" s="644"/>
      <c r="C251" s="644"/>
    </row>
    <row r="252" spans="2:24" ht="15">
      <c r="B252" s="644" t="s">
        <v>763</v>
      </c>
      <c r="C252" s="644"/>
      <c r="E252" s="579">
        <v>240000</v>
      </c>
      <c r="Q252" s="634">
        <v>240000</v>
      </c>
      <c r="R252" s="634"/>
      <c r="T252" s="634">
        <v>240000</v>
      </c>
      <c r="U252" s="634"/>
      <c r="W252" s="634">
        <v>240000</v>
      </c>
      <c r="X252" s="634"/>
    </row>
    <row r="253" spans="2:24">
      <c r="B253" s="644"/>
      <c r="C253" s="644"/>
    </row>
    <row r="254" spans="2:24">
      <c r="B254" s="644"/>
      <c r="C254" s="644"/>
    </row>
    <row r="255" spans="2:24" ht="15">
      <c r="B255" s="644" t="s">
        <v>762</v>
      </c>
      <c r="C255" s="644"/>
      <c r="E255" s="579">
        <v>5000</v>
      </c>
      <c r="Q255" s="634">
        <v>5000</v>
      </c>
      <c r="R255" s="634"/>
      <c r="T255" s="634">
        <v>5000</v>
      </c>
      <c r="U255" s="634"/>
      <c r="W255" s="634">
        <v>5000</v>
      </c>
      <c r="X255" s="634"/>
    </row>
    <row r="256" spans="2:24">
      <c r="B256" s="644"/>
      <c r="C256" s="644"/>
    </row>
    <row r="257" spans="2:24">
      <c r="B257" s="644"/>
      <c r="C257" s="644"/>
    </row>
    <row r="258" spans="2:24" ht="15">
      <c r="B258" s="644" t="s">
        <v>761</v>
      </c>
      <c r="C258" s="644"/>
      <c r="E258" s="579">
        <v>20885</v>
      </c>
      <c r="Q258" s="634">
        <v>20885</v>
      </c>
      <c r="R258" s="634"/>
      <c r="T258" s="634">
        <v>20885</v>
      </c>
      <c r="U258" s="634"/>
      <c r="W258" s="634">
        <v>20885</v>
      </c>
      <c r="X258" s="634"/>
    </row>
    <row r="259" spans="2:24">
      <c r="B259" s="644"/>
      <c r="C259" s="644"/>
    </row>
    <row r="260" spans="2:24" ht="15">
      <c r="B260" s="644" t="s">
        <v>760</v>
      </c>
      <c r="C260" s="644"/>
      <c r="E260" s="579">
        <v>93600</v>
      </c>
      <c r="Q260" s="634">
        <v>93600</v>
      </c>
      <c r="R260" s="634"/>
      <c r="T260" s="634">
        <v>93600</v>
      </c>
      <c r="U260" s="634"/>
      <c r="W260" s="634">
        <v>93600</v>
      </c>
      <c r="X260" s="634"/>
    </row>
    <row r="261" spans="2:24">
      <c r="B261" s="644"/>
      <c r="C261" s="644"/>
    </row>
    <row r="262" spans="2:24">
      <c r="B262" s="644"/>
      <c r="C262" s="644"/>
    </row>
    <row r="263" spans="2:24" ht="15">
      <c r="B263" s="644" t="s">
        <v>759</v>
      </c>
      <c r="C263" s="644"/>
      <c r="E263" s="579">
        <v>10000</v>
      </c>
      <c r="G263" s="579">
        <v>10000</v>
      </c>
      <c r="I263" s="579">
        <v>10000</v>
      </c>
    </row>
    <row r="264" spans="2:24">
      <c r="B264" s="644"/>
      <c r="C264" s="644"/>
    </row>
    <row r="265" spans="2:24">
      <c r="B265" s="644"/>
      <c r="C265" s="644"/>
    </row>
    <row r="266" spans="2:24" ht="15">
      <c r="B266" s="644" t="s">
        <v>758</v>
      </c>
      <c r="C266" s="644"/>
      <c r="E266" s="579">
        <v>9102</v>
      </c>
      <c r="Q266" s="634">
        <v>9102</v>
      </c>
      <c r="R266" s="634"/>
      <c r="T266" s="634">
        <v>9102</v>
      </c>
      <c r="U266" s="634"/>
      <c r="W266" s="634">
        <v>9102</v>
      </c>
      <c r="X266" s="634"/>
    </row>
    <row r="267" spans="2:24">
      <c r="B267" s="644"/>
      <c r="C267" s="644"/>
    </row>
    <row r="268" spans="2:24">
      <c r="B268" s="644"/>
      <c r="C268" s="644"/>
    </row>
    <row r="269" spans="2:24" ht="15">
      <c r="B269" s="644" t="s">
        <v>757</v>
      </c>
      <c r="C269" s="644"/>
      <c r="E269" s="579">
        <v>39332</v>
      </c>
      <c r="Q269" s="634">
        <v>39332</v>
      </c>
      <c r="R269" s="634"/>
      <c r="T269" s="634">
        <v>39332</v>
      </c>
      <c r="U269" s="634"/>
      <c r="W269" s="634">
        <v>39332</v>
      </c>
      <c r="X269" s="634"/>
    </row>
    <row r="270" spans="2:24">
      <c r="B270" s="644"/>
      <c r="C270" s="644"/>
    </row>
    <row r="271" spans="2:24">
      <c r="B271" s="644"/>
      <c r="C271" s="644"/>
    </row>
    <row r="272" spans="2:24" ht="15">
      <c r="B272" s="644" t="s">
        <v>756</v>
      </c>
      <c r="C272" s="644"/>
      <c r="E272" s="579">
        <v>2468</v>
      </c>
      <c r="Q272" s="634">
        <v>2468</v>
      </c>
      <c r="R272" s="634"/>
      <c r="T272" s="634">
        <v>2468</v>
      </c>
      <c r="U272" s="634"/>
      <c r="W272" s="634">
        <v>2468</v>
      </c>
      <c r="X272" s="634"/>
    </row>
    <row r="273" spans="2:24">
      <c r="B273" s="644"/>
      <c r="C273" s="644"/>
    </row>
    <row r="274" spans="2:24">
      <c r="B274" s="644"/>
      <c r="C274" s="644"/>
    </row>
    <row r="275" spans="2:24" ht="15">
      <c r="B275" s="644" t="s">
        <v>755</v>
      </c>
      <c r="C275" s="644"/>
      <c r="E275" s="579">
        <v>80000</v>
      </c>
      <c r="Q275" s="634">
        <v>80000</v>
      </c>
      <c r="R275" s="634"/>
      <c r="T275" s="634">
        <v>80000</v>
      </c>
      <c r="U275" s="634"/>
      <c r="W275" s="634">
        <v>80000</v>
      </c>
      <c r="X275" s="634"/>
    </row>
    <row r="276" spans="2:24">
      <c r="B276" s="644"/>
      <c r="C276" s="644"/>
    </row>
    <row r="277" spans="2:24">
      <c r="B277" s="644"/>
      <c r="C277" s="644"/>
    </row>
    <row r="278" spans="2:24" ht="15">
      <c r="B278" s="644" t="s">
        <v>754</v>
      </c>
      <c r="C278" s="644"/>
      <c r="E278" s="579">
        <v>2230</v>
      </c>
      <c r="G278" s="579">
        <v>2230</v>
      </c>
      <c r="I278" s="579">
        <v>2230</v>
      </c>
    </row>
    <row r="279" spans="2:24">
      <c r="B279" s="644"/>
      <c r="C279" s="644"/>
    </row>
    <row r="280" spans="2:24">
      <c r="B280" s="644"/>
      <c r="C280" s="644"/>
    </row>
    <row r="281" spans="2:24" ht="15">
      <c r="B281" s="644" t="s">
        <v>753</v>
      </c>
      <c r="C281" s="644"/>
      <c r="E281" s="579">
        <v>29970</v>
      </c>
      <c r="Q281" s="634">
        <v>29970</v>
      </c>
      <c r="R281" s="634"/>
      <c r="T281" s="634">
        <v>29970</v>
      </c>
      <c r="U281" s="634"/>
      <c r="W281" s="634">
        <v>29970</v>
      </c>
      <c r="X281" s="634"/>
    </row>
    <row r="282" spans="2:24">
      <c r="B282" s="644"/>
      <c r="C282" s="644"/>
    </row>
    <row r="283" spans="2:24">
      <c r="B283" s="644"/>
      <c r="C283" s="644"/>
    </row>
    <row r="284" spans="2:24" ht="15">
      <c r="B284" s="644" t="s">
        <v>752</v>
      </c>
      <c r="C284" s="644"/>
      <c r="E284" s="579">
        <v>10290</v>
      </c>
      <c r="G284" s="579">
        <v>10290</v>
      </c>
      <c r="I284" s="579">
        <v>10290</v>
      </c>
    </row>
    <row r="285" spans="2:24">
      <c r="B285" s="644"/>
      <c r="C285" s="644"/>
    </row>
    <row r="286" spans="2:24">
      <c r="B286" s="644"/>
      <c r="C286" s="644"/>
    </row>
    <row r="287" spans="2:24" ht="15">
      <c r="B287" s="644" t="s">
        <v>751</v>
      </c>
      <c r="C287" s="644"/>
      <c r="E287" s="579">
        <v>21896</v>
      </c>
      <c r="Q287" s="634">
        <v>21896</v>
      </c>
      <c r="R287" s="634"/>
      <c r="T287" s="634">
        <v>21896</v>
      </c>
      <c r="U287" s="634"/>
      <c r="W287" s="634">
        <v>21896</v>
      </c>
      <c r="X287" s="634"/>
    </row>
    <row r="288" spans="2:24">
      <c r="B288" s="644"/>
      <c r="C288" s="644"/>
    </row>
    <row r="289" spans="2:24">
      <c r="B289" s="644"/>
      <c r="C289" s="644"/>
    </row>
    <row r="290" spans="2:24" ht="15">
      <c r="B290" s="644" t="s">
        <v>750</v>
      </c>
      <c r="C290" s="644"/>
      <c r="E290" s="579">
        <v>5000</v>
      </c>
      <c r="Q290" s="634">
        <v>5000</v>
      </c>
      <c r="R290" s="634"/>
      <c r="T290" s="634">
        <v>5000</v>
      </c>
      <c r="U290" s="634"/>
      <c r="W290" s="634">
        <v>5000</v>
      </c>
      <c r="X290" s="634"/>
    </row>
    <row r="291" spans="2:24">
      <c r="B291" s="644"/>
      <c r="C291" s="644"/>
    </row>
    <row r="292" spans="2:24">
      <c r="B292" s="644"/>
      <c r="C292" s="644"/>
    </row>
    <row r="293" spans="2:24" ht="15">
      <c r="B293" s="644" t="s">
        <v>749</v>
      </c>
      <c r="C293" s="644"/>
      <c r="E293" s="579">
        <v>18000</v>
      </c>
      <c r="Q293" s="634">
        <v>18000</v>
      </c>
      <c r="R293" s="634"/>
      <c r="T293" s="634">
        <v>18000</v>
      </c>
      <c r="U293" s="634"/>
      <c r="W293" s="634">
        <v>18000</v>
      </c>
      <c r="X293" s="634"/>
    </row>
    <row r="294" spans="2:24">
      <c r="B294" s="644"/>
      <c r="C294" s="644"/>
    </row>
    <row r="295" spans="2:24">
      <c r="B295" s="644"/>
      <c r="C295" s="644"/>
    </row>
    <row r="296" spans="2:24" ht="15">
      <c r="B296" s="644" t="s">
        <v>748</v>
      </c>
      <c r="C296" s="644"/>
      <c r="E296" s="579">
        <v>21383</v>
      </c>
      <c r="Q296" s="634">
        <v>21383</v>
      </c>
      <c r="R296" s="634"/>
      <c r="T296" s="634">
        <v>21383</v>
      </c>
      <c r="U296" s="634"/>
      <c r="W296" s="634">
        <v>21383</v>
      </c>
      <c r="X296" s="634"/>
    </row>
    <row r="297" spans="2:24">
      <c r="B297" s="644"/>
      <c r="C297" s="644"/>
    </row>
    <row r="298" spans="2:24">
      <c r="B298" s="644"/>
      <c r="C298" s="644"/>
    </row>
    <row r="299" spans="2:24" ht="15">
      <c r="B299" s="578" t="s">
        <v>747</v>
      </c>
      <c r="E299" s="577">
        <v>106703595</v>
      </c>
      <c r="G299" s="577">
        <v>92633866</v>
      </c>
      <c r="I299" s="577">
        <v>94037694</v>
      </c>
      <c r="M299" s="635">
        <v>1417632</v>
      </c>
      <c r="N299" s="635"/>
      <c r="O299" s="635"/>
      <c r="Q299" s="635">
        <v>12665901</v>
      </c>
      <c r="R299" s="635"/>
      <c r="T299" s="635">
        <v>12665901</v>
      </c>
      <c r="U299" s="635"/>
      <c r="W299" s="635">
        <v>11248269</v>
      </c>
      <c r="X299" s="635"/>
    </row>
  </sheetData>
  <mergeCells count="357">
    <mergeCell ref="M299:O299"/>
    <mergeCell ref="Q299:R299"/>
    <mergeCell ref="T299:U299"/>
    <mergeCell ref="W299:X299"/>
    <mergeCell ref="B293:C295"/>
    <mergeCell ref="Q293:R293"/>
    <mergeCell ref="T293:U293"/>
    <mergeCell ref="W293:X293"/>
    <mergeCell ref="B296:C298"/>
    <mergeCell ref="Q296:R296"/>
    <mergeCell ref="B278:C280"/>
    <mergeCell ref="B281:C283"/>
    <mergeCell ref="Q281:R281"/>
    <mergeCell ref="T281:U281"/>
    <mergeCell ref="W281:X281"/>
    <mergeCell ref="B284:C286"/>
    <mergeCell ref="T296:U296"/>
    <mergeCell ref="W296:X296"/>
    <mergeCell ref="B287:C289"/>
    <mergeCell ref="Q287:R287"/>
    <mergeCell ref="T287:U287"/>
    <mergeCell ref="W287:X287"/>
    <mergeCell ref="B290:C292"/>
    <mergeCell ref="Q290:R290"/>
    <mergeCell ref="T290:U290"/>
    <mergeCell ref="W290:X290"/>
    <mergeCell ref="B269:C271"/>
    <mergeCell ref="Q269:R269"/>
    <mergeCell ref="T269:U269"/>
    <mergeCell ref="W269:X269"/>
    <mergeCell ref="B272:C274"/>
    <mergeCell ref="Q272:R272"/>
    <mergeCell ref="T272:U272"/>
    <mergeCell ref="W272:X272"/>
    <mergeCell ref="B275:C277"/>
    <mergeCell ref="Q275:R275"/>
    <mergeCell ref="T275:U275"/>
    <mergeCell ref="W275:X275"/>
    <mergeCell ref="B260:C262"/>
    <mergeCell ref="Q260:R260"/>
    <mergeCell ref="T260:U260"/>
    <mergeCell ref="W260:X260"/>
    <mergeCell ref="B263:C265"/>
    <mergeCell ref="B266:C268"/>
    <mergeCell ref="Q266:R266"/>
    <mergeCell ref="T266:U266"/>
    <mergeCell ref="W266:X266"/>
    <mergeCell ref="B252:C254"/>
    <mergeCell ref="Q252:R252"/>
    <mergeCell ref="T252:U252"/>
    <mergeCell ref="W252:X252"/>
    <mergeCell ref="B255:C257"/>
    <mergeCell ref="Q255:R255"/>
    <mergeCell ref="T255:U255"/>
    <mergeCell ref="W255:X255"/>
    <mergeCell ref="B258:C259"/>
    <mergeCell ref="Q258:R258"/>
    <mergeCell ref="T258:U258"/>
    <mergeCell ref="W258:X258"/>
    <mergeCell ref="B243:C245"/>
    <mergeCell ref="Q243:R243"/>
    <mergeCell ref="T243:U243"/>
    <mergeCell ref="W243:X243"/>
    <mergeCell ref="B246:C248"/>
    <mergeCell ref="Q246:R246"/>
    <mergeCell ref="T246:U246"/>
    <mergeCell ref="W246:X246"/>
    <mergeCell ref="B249:C251"/>
    <mergeCell ref="Q249:R249"/>
    <mergeCell ref="T249:U249"/>
    <mergeCell ref="W249:X249"/>
    <mergeCell ref="B234:C236"/>
    <mergeCell ref="B237:C239"/>
    <mergeCell ref="Q237:R237"/>
    <mergeCell ref="T237:U237"/>
    <mergeCell ref="W237:X237"/>
    <mergeCell ref="B240:C242"/>
    <mergeCell ref="Q240:R240"/>
    <mergeCell ref="T240:U240"/>
    <mergeCell ref="W240:X240"/>
    <mergeCell ref="B223:C225"/>
    <mergeCell ref="Q223:R223"/>
    <mergeCell ref="T223:U223"/>
    <mergeCell ref="W223:X223"/>
    <mergeCell ref="B226:C227"/>
    <mergeCell ref="B228:C230"/>
    <mergeCell ref="B231:C233"/>
    <mergeCell ref="Q231:R231"/>
    <mergeCell ref="T231:U231"/>
    <mergeCell ref="W231:X231"/>
    <mergeCell ref="B213:C214"/>
    <mergeCell ref="B215:C216"/>
    <mergeCell ref="Q215:R215"/>
    <mergeCell ref="T215:U215"/>
    <mergeCell ref="W215:X215"/>
    <mergeCell ref="B217:C219"/>
    <mergeCell ref="B220:C222"/>
    <mergeCell ref="Q220:R220"/>
    <mergeCell ref="T220:U220"/>
    <mergeCell ref="W220:X220"/>
    <mergeCell ref="B207:C208"/>
    <mergeCell ref="Q207:R207"/>
    <mergeCell ref="T207:U207"/>
    <mergeCell ref="W207:X207"/>
    <mergeCell ref="B209:C210"/>
    <mergeCell ref="B211:C212"/>
    <mergeCell ref="Q211:R211"/>
    <mergeCell ref="T211:U211"/>
    <mergeCell ref="W211:X211"/>
    <mergeCell ref="B199:C200"/>
    <mergeCell ref="Q199:R199"/>
    <mergeCell ref="T199:U199"/>
    <mergeCell ref="W199:X199"/>
    <mergeCell ref="B201:C202"/>
    <mergeCell ref="B203:C204"/>
    <mergeCell ref="B205:C206"/>
    <mergeCell ref="Q205:R205"/>
    <mergeCell ref="T205:U205"/>
    <mergeCell ref="W205:X205"/>
    <mergeCell ref="B192:C193"/>
    <mergeCell ref="Q192:R192"/>
    <mergeCell ref="T192:U192"/>
    <mergeCell ref="W192:X192"/>
    <mergeCell ref="B194:C196"/>
    <mergeCell ref="B197:C198"/>
    <mergeCell ref="Q197:R197"/>
    <mergeCell ref="T197:U197"/>
    <mergeCell ref="W197:X197"/>
    <mergeCell ref="B184:C186"/>
    <mergeCell ref="Q184:R184"/>
    <mergeCell ref="T184:U184"/>
    <mergeCell ref="W184:X184"/>
    <mergeCell ref="B187:C188"/>
    <mergeCell ref="Q187:R187"/>
    <mergeCell ref="T187:U187"/>
    <mergeCell ref="W187:X187"/>
    <mergeCell ref="B189:C191"/>
    <mergeCell ref="Q189:R189"/>
    <mergeCell ref="T189:U189"/>
    <mergeCell ref="W189:X189"/>
    <mergeCell ref="B176:C178"/>
    <mergeCell ref="Q176:R176"/>
    <mergeCell ref="T176:U176"/>
    <mergeCell ref="W176:X176"/>
    <mergeCell ref="B179:C181"/>
    <mergeCell ref="Q179:R179"/>
    <mergeCell ref="T179:U179"/>
    <mergeCell ref="W179:X179"/>
    <mergeCell ref="B182:C183"/>
    <mergeCell ref="Q182:R182"/>
    <mergeCell ref="T182:U182"/>
    <mergeCell ref="W182:X182"/>
    <mergeCell ref="B163:C164"/>
    <mergeCell ref="B165:C166"/>
    <mergeCell ref="B167:C168"/>
    <mergeCell ref="B169:C170"/>
    <mergeCell ref="B171:C172"/>
    <mergeCell ref="B173:C175"/>
    <mergeCell ref="Q173:R173"/>
    <mergeCell ref="T173:U173"/>
    <mergeCell ref="W173:X173"/>
    <mergeCell ref="B153:C154"/>
    <mergeCell ref="B155:C156"/>
    <mergeCell ref="B157:C158"/>
    <mergeCell ref="B159:C160"/>
    <mergeCell ref="Q159:R159"/>
    <mergeCell ref="T159:U159"/>
    <mergeCell ref="W159:X159"/>
    <mergeCell ref="B161:C162"/>
    <mergeCell ref="Q161:R161"/>
    <mergeCell ref="T161:U161"/>
    <mergeCell ref="W161:X161"/>
    <mergeCell ref="B145:C146"/>
    <mergeCell ref="B147:C148"/>
    <mergeCell ref="Q147:R147"/>
    <mergeCell ref="T147:U147"/>
    <mergeCell ref="W147:X147"/>
    <mergeCell ref="B149:C150"/>
    <mergeCell ref="B151:C152"/>
    <mergeCell ref="Q151:R151"/>
    <mergeCell ref="T151:U151"/>
    <mergeCell ref="W151:X151"/>
    <mergeCell ref="B133:C135"/>
    <mergeCell ref="B136:C137"/>
    <mergeCell ref="B138:C140"/>
    <mergeCell ref="Q138:R138"/>
    <mergeCell ref="T138:U138"/>
    <mergeCell ref="W138:X138"/>
    <mergeCell ref="B141:C142"/>
    <mergeCell ref="B143:C144"/>
    <mergeCell ref="Q143:R143"/>
    <mergeCell ref="T143:U143"/>
    <mergeCell ref="W143:X143"/>
    <mergeCell ref="B127:C128"/>
    <mergeCell ref="Q127:R127"/>
    <mergeCell ref="T127:U127"/>
    <mergeCell ref="W127:X127"/>
    <mergeCell ref="B129:C130"/>
    <mergeCell ref="Q129:R129"/>
    <mergeCell ref="T129:U129"/>
    <mergeCell ref="W129:X129"/>
    <mergeCell ref="B131:C132"/>
    <mergeCell ref="W118:X118"/>
    <mergeCell ref="B120:C122"/>
    <mergeCell ref="B123:C124"/>
    <mergeCell ref="Q123:R123"/>
    <mergeCell ref="T123:U123"/>
    <mergeCell ref="W123:X123"/>
    <mergeCell ref="B125:C126"/>
    <mergeCell ref="Q125:R125"/>
    <mergeCell ref="T125:U125"/>
    <mergeCell ref="W125:X125"/>
    <mergeCell ref="B106:C107"/>
    <mergeCell ref="B108:C110"/>
    <mergeCell ref="B111:C112"/>
    <mergeCell ref="B113:C115"/>
    <mergeCell ref="B116:C117"/>
    <mergeCell ref="B118:C119"/>
    <mergeCell ref="M118:O118"/>
    <mergeCell ref="Q118:R118"/>
    <mergeCell ref="T118:U118"/>
    <mergeCell ref="B99:C100"/>
    <mergeCell ref="B101:C103"/>
    <mergeCell ref="Q101:R101"/>
    <mergeCell ref="T101:U101"/>
    <mergeCell ref="W101:X101"/>
    <mergeCell ref="B104:C105"/>
    <mergeCell ref="M104:O104"/>
    <mergeCell ref="Q104:R104"/>
    <mergeCell ref="T104:U104"/>
    <mergeCell ref="W104:X104"/>
    <mergeCell ref="B91:C92"/>
    <mergeCell ref="B93:C94"/>
    <mergeCell ref="B95:C96"/>
    <mergeCell ref="Q95:R95"/>
    <mergeCell ref="T95:U95"/>
    <mergeCell ref="W95:X95"/>
    <mergeCell ref="B97:C98"/>
    <mergeCell ref="Q97:R97"/>
    <mergeCell ref="T97:U97"/>
    <mergeCell ref="W97:X97"/>
    <mergeCell ref="B73:C74"/>
    <mergeCell ref="B75:C76"/>
    <mergeCell ref="B77:C78"/>
    <mergeCell ref="B79:C80"/>
    <mergeCell ref="B81:C82"/>
    <mergeCell ref="B83:C84"/>
    <mergeCell ref="B85:C86"/>
    <mergeCell ref="B87:C88"/>
    <mergeCell ref="B89:C90"/>
    <mergeCell ref="B61:C62"/>
    <mergeCell ref="B63:C64"/>
    <mergeCell ref="B65:C66"/>
    <mergeCell ref="Q65:R65"/>
    <mergeCell ref="T65:U65"/>
    <mergeCell ref="W65:X65"/>
    <mergeCell ref="B67:C68"/>
    <mergeCell ref="B69:C70"/>
    <mergeCell ref="B71:C72"/>
    <mergeCell ref="B55:C56"/>
    <mergeCell ref="Q55:R55"/>
    <mergeCell ref="T55:U55"/>
    <mergeCell ref="W55:X55"/>
    <mergeCell ref="B57:C58"/>
    <mergeCell ref="Q57:R57"/>
    <mergeCell ref="T57:U57"/>
    <mergeCell ref="W57:X57"/>
    <mergeCell ref="B59:C60"/>
    <mergeCell ref="Q59:R59"/>
    <mergeCell ref="T59:U59"/>
    <mergeCell ref="W59:X59"/>
    <mergeCell ref="B49:C50"/>
    <mergeCell ref="B51:C52"/>
    <mergeCell ref="Q51:R51"/>
    <mergeCell ref="T51:U51"/>
    <mergeCell ref="W51:X51"/>
    <mergeCell ref="B53:C54"/>
    <mergeCell ref="Q53:R53"/>
    <mergeCell ref="T53:U53"/>
    <mergeCell ref="W53:X53"/>
    <mergeCell ref="B43:C44"/>
    <mergeCell ref="Q43:R43"/>
    <mergeCell ref="T43:U43"/>
    <mergeCell ref="W43:X43"/>
    <mergeCell ref="B45:C46"/>
    <mergeCell ref="Q45:R45"/>
    <mergeCell ref="T45:U45"/>
    <mergeCell ref="W45:X45"/>
    <mergeCell ref="B47:C48"/>
    <mergeCell ref="Q47:R47"/>
    <mergeCell ref="T47:U47"/>
    <mergeCell ref="W47:X47"/>
    <mergeCell ref="B39:C40"/>
    <mergeCell ref="M39:O39"/>
    <mergeCell ref="Q39:R39"/>
    <mergeCell ref="T39:U39"/>
    <mergeCell ref="W39:X39"/>
    <mergeCell ref="B41:C42"/>
    <mergeCell ref="Q41:R41"/>
    <mergeCell ref="T41:U41"/>
    <mergeCell ref="W41:X41"/>
    <mergeCell ref="B33:C34"/>
    <mergeCell ref="Q33:R33"/>
    <mergeCell ref="T33:U33"/>
    <mergeCell ref="W33:X33"/>
    <mergeCell ref="B35:C36"/>
    <mergeCell ref="Q35:R35"/>
    <mergeCell ref="T35:U35"/>
    <mergeCell ref="W35:X35"/>
    <mergeCell ref="B37:C38"/>
    <mergeCell ref="M37:O37"/>
    <mergeCell ref="Q37:R37"/>
    <mergeCell ref="T37:U37"/>
    <mergeCell ref="B23:C24"/>
    <mergeCell ref="B25:C26"/>
    <mergeCell ref="M25:O25"/>
    <mergeCell ref="Q25:R25"/>
    <mergeCell ref="T25:U25"/>
    <mergeCell ref="W25:X25"/>
    <mergeCell ref="B27:C28"/>
    <mergeCell ref="B29:C30"/>
    <mergeCell ref="B31:C32"/>
    <mergeCell ref="Q31:R31"/>
    <mergeCell ref="T31:U31"/>
    <mergeCell ref="W31:X31"/>
    <mergeCell ref="B15:C16"/>
    <mergeCell ref="B17:C18"/>
    <mergeCell ref="B19:C20"/>
    <mergeCell ref="Q19:R19"/>
    <mergeCell ref="T19:U19"/>
    <mergeCell ref="W19:X19"/>
    <mergeCell ref="B21:C22"/>
    <mergeCell ref="Q21:R21"/>
    <mergeCell ref="T21:U21"/>
    <mergeCell ref="W21:X21"/>
    <mergeCell ref="B11:C12"/>
    <mergeCell ref="Q11:R11"/>
    <mergeCell ref="T11:U11"/>
    <mergeCell ref="W11:X11"/>
    <mergeCell ref="B13:C14"/>
    <mergeCell ref="M13:O13"/>
    <mergeCell ref="Q13:R13"/>
    <mergeCell ref="T13:U13"/>
    <mergeCell ref="W13:X13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0"/>
  <sheetViews>
    <sheetView topLeftCell="B7" zoomScaleNormal="100" workbookViewId="0">
      <selection activeCell="H11" sqref="H11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37.140625" style="132" customWidth="1"/>
    <col min="8" max="8" width="18.7109375" bestFit="1" customWidth="1"/>
    <col min="9" max="9" width="17.42578125" bestFit="1" customWidth="1"/>
    <col min="10" max="10" width="11.140625" bestFit="1" customWidth="1"/>
  </cols>
  <sheetData>
    <row r="1" spans="1:8">
      <c r="A1" s="622" t="s">
        <v>321</v>
      </c>
      <c r="B1" s="622"/>
    </row>
    <row r="2" spans="1:8">
      <c r="A2" s="623" t="s">
        <v>322</v>
      </c>
      <c r="B2" s="622"/>
    </row>
    <row r="3" spans="1:8">
      <c r="A3" s="622" t="s">
        <v>323</v>
      </c>
      <c r="B3" s="622"/>
    </row>
    <row r="4" spans="1:8" ht="28.5">
      <c r="A4" s="622" t="s">
        <v>324</v>
      </c>
      <c r="B4" s="622"/>
      <c r="C4" s="151" t="s">
        <v>325</v>
      </c>
      <c r="D4" s="163" t="s">
        <v>326</v>
      </c>
      <c r="E4" s="132" t="s">
        <v>327</v>
      </c>
      <c r="F4" s="163" t="s">
        <v>328</v>
      </c>
    </row>
    <row r="5" spans="1:8">
      <c r="A5" s="623" t="s">
        <v>329</v>
      </c>
      <c r="B5" s="622"/>
      <c r="C5" s="152">
        <v>0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9534000</v>
      </c>
    </row>
    <row r="6" spans="1:8" ht="15" thickBot="1">
      <c r="A6" s="620" t="s">
        <v>330</v>
      </c>
      <c r="B6" s="621"/>
      <c r="C6" s="150" t="s">
        <v>331</v>
      </c>
      <c r="D6" s="165">
        <f>VLOOKUP("銀行存款-縣庫存款",平衡!$E$13:$H$90,4,0)+VLOOKUP("零用及週轉金",平衡!$D$13:$H$90,5,0)+IFERROR(VLOOKUP("預付費用",平衡!$D$13:$H$81,5,0),0)</f>
        <v>7829546</v>
      </c>
      <c r="E6" s="165">
        <f>VLOOKUP("淨資產",平衡!$K$13:$T$113,10,0)+C5-VLOOKUP("固定資產",平衡!$B$13:$H$90,7,0)-VLOOKUP("無形資產",平衡!$B$13:$H$84,7,0)</f>
        <v>7829546</v>
      </c>
      <c r="F6" s="136" t="s">
        <v>332</v>
      </c>
    </row>
    <row r="7" spans="1:8" ht="15" thickBot="1">
      <c r="A7" s="620" t="s">
        <v>333</v>
      </c>
      <c r="B7" s="621"/>
      <c r="C7" s="150" t="s">
        <v>334</v>
      </c>
      <c r="D7" s="165">
        <f>VLOOKUP("銀行存款-專戶存款",平衡!$E$13:$H$90,4,0)+VLOOKUP("其他預付款",平衡!$D$13:$H$90,5,0)</f>
        <v>11665026</v>
      </c>
      <c r="E7" s="165">
        <f>VLOOKUP("應付代收款",平衡!$N$13:$T$90,7,0)+VLOOKUP("存入保證金",平衡!$N$13:$T$90,7,0)</f>
        <v>11665026</v>
      </c>
      <c r="F7" s="136" t="s">
        <v>335</v>
      </c>
    </row>
    <row r="8" spans="1:8" ht="20.25" thickBot="1">
      <c r="A8" s="65" t="s">
        <v>123</v>
      </c>
      <c r="B8" s="66" t="s">
        <v>124</v>
      </c>
      <c r="C8" s="150" t="s">
        <v>336</v>
      </c>
      <c r="D8" s="166">
        <f>VLOOKUP("合計：",平衡!$A$13:$H$90,8,0)</f>
        <v>348860920</v>
      </c>
      <c r="E8" s="166">
        <f>VLOOKUP("合計：",平衡!$K$13:$T$90,10,0)</f>
        <v>348860920</v>
      </c>
    </row>
    <row r="9" spans="1:8" ht="17.25" thickBot="1">
      <c r="A9" s="61" t="s">
        <v>125</v>
      </c>
      <c r="B9" s="62" t="s">
        <v>126</v>
      </c>
      <c r="C9" s="150" t="s">
        <v>337</v>
      </c>
      <c r="D9" s="166">
        <f>VLOOKUP("基金用途",餘絀表!$C$16:$T$48,18,0)</f>
        <v>116204190</v>
      </c>
      <c r="E9" s="166">
        <f>VLOOKUP("合       計",各項費用!$D$12:$Q$86,14)</f>
        <v>116204190</v>
      </c>
      <c r="F9" s="166">
        <f>縣庫對帳!P3</f>
        <v>116204190</v>
      </c>
    </row>
    <row r="10" spans="1:8" ht="33.75" thickBot="1">
      <c r="A10" s="61" t="s">
        <v>127</v>
      </c>
      <c r="B10" s="62" t="s">
        <v>128</v>
      </c>
      <c r="C10" s="150" t="s">
        <v>338</v>
      </c>
      <c r="D10" s="166">
        <f>VLOOKUP("基金來源",餘絀表!$C$16:$T$48,18,0)</f>
        <v>115417436</v>
      </c>
      <c r="E10" s="166">
        <f>縣庫對帳!N3</f>
        <v>115417436</v>
      </c>
      <c r="F10" s="166"/>
      <c r="G10" s="166"/>
      <c r="H10" s="153">
        <f>D10-E10</f>
        <v>0</v>
      </c>
    </row>
    <row r="11" spans="1:8" ht="27" customHeight="1">
      <c r="A11" s="615" t="s">
        <v>27</v>
      </c>
      <c r="B11" s="615" t="s">
        <v>129</v>
      </c>
      <c r="C11" s="150" t="s">
        <v>339</v>
      </c>
      <c r="D11" s="166">
        <f>VLOOKUP("政府撥入收入",餘絀表!$C$16:$T$48,18,0)</f>
        <v>115123255</v>
      </c>
      <c r="E11" s="166"/>
      <c r="F11" s="166">
        <f>VLOOKUP("政府撥入收入",收支!$B$14:$N$64,13,0)</f>
        <v>115123255</v>
      </c>
      <c r="G11" s="166">
        <f>VLOOKUP("政府撥入收入",對照表!$B$1:$E$29,4,0)</f>
        <v>115123255</v>
      </c>
    </row>
    <row r="12" spans="1:8" ht="28.5">
      <c r="A12" s="618"/>
      <c r="B12" s="618"/>
      <c r="C12" s="150" t="s">
        <v>340</v>
      </c>
      <c r="D12" s="166"/>
      <c r="E12" s="166"/>
      <c r="F12" s="166">
        <f>VLOOKUP("收入",收支!$A$14:$N$64,14,0)</f>
        <v>117031040</v>
      </c>
      <c r="G12" s="166">
        <f>VLOOKUP("基金來源",對照表!$A$1:$E$29,5,0)</f>
        <v>117031040</v>
      </c>
    </row>
    <row r="13" spans="1:8">
      <c r="A13" s="618"/>
      <c r="B13" s="618"/>
      <c r="C13" s="150" t="s">
        <v>341</v>
      </c>
      <c r="D13" s="576">
        <f>IF(封面!J10=12,0,VLOOKUP($G$13,平衡!$N$13:$T$90,7,0))</f>
        <v>-8114481</v>
      </c>
      <c r="E13" s="576">
        <f>VLOOKUP("本期賸餘（短絀）",收支!$A$14:$N$53,14,0)</f>
        <v>-8114481</v>
      </c>
      <c r="F13" s="576">
        <f>VLOOKUP("本期賸餘(短絀)",對照表!$A$1:$E$29,5,0)</f>
        <v>-8114481</v>
      </c>
      <c r="G13" s="164" t="str">
        <f>IF(E13&gt;=0,"本期賸餘","本期短絀")</f>
        <v>本期短絀</v>
      </c>
    </row>
    <row r="14" spans="1:8">
      <c r="A14" s="618"/>
      <c r="B14" s="618"/>
      <c r="C14" s="150" t="s">
        <v>342</v>
      </c>
      <c r="D14" s="576">
        <f>IF(封面!J10=12,0,VLOOKUP("本期賸餘(短絀－)",餘絀表!$C$16:$T$51,18,0))</f>
        <v>-786754</v>
      </c>
      <c r="E14" s="576"/>
      <c r="F14" s="576">
        <f>IF(封面!J10=12,0,VLOOKUP("本期賸餘(短絀)",對照表!$A$1:$C$29,3,0))</f>
        <v>-786754</v>
      </c>
      <c r="G14" s="164"/>
    </row>
    <row r="15" spans="1:8">
      <c r="A15" s="618"/>
      <c r="B15" s="618"/>
      <c r="C15" s="150" t="s">
        <v>343</v>
      </c>
      <c r="D15" s="166">
        <f>IF(封面!J12=12,0,VLOOKUP($G$15,平衡!$K$13:$T$90,10,0))</f>
        <v>334995882</v>
      </c>
      <c r="E15" s="166">
        <f>IF(封面!J12=12,0,VLOOKUP("期末淨資產",收支!$A$14:$N$53,14,0))</f>
        <v>334995882</v>
      </c>
      <c r="F15" s="166">
        <f>IF(封面!K12=12,0,VLOOKUP("期末基金餘額",對照表!$A$1:$E$42,5,0))</f>
        <v>334995882</v>
      </c>
      <c r="G15" s="164" t="s">
        <v>343</v>
      </c>
    </row>
    <row r="16" spans="1:8" ht="15" thickBot="1">
      <c r="A16" s="619"/>
      <c r="B16" s="619"/>
      <c r="C16" s="150" t="s">
        <v>344</v>
      </c>
      <c r="D16" s="166">
        <f>VLOOKUP("國民教育計畫",主要業務!$B$15:$J$23,7,0)</f>
        <v>19899459</v>
      </c>
      <c r="E16" s="166">
        <f>VLOOKUP("國民教育計畫",餘絀表!$C$16:$T$48,8,0)</f>
        <v>19899459</v>
      </c>
    </row>
    <row r="17" spans="1:10">
      <c r="A17" s="615" t="s">
        <v>141</v>
      </c>
      <c r="B17" s="615" t="s">
        <v>130</v>
      </c>
      <c r="C17" s="150" t="s">
        <v>345</v>
      </c>
      <c r="D17" s="166">
        <f>主要業務!H17</f>
        <v>116075942</v>
      </c>
      <c r="E17" s="166">
        <f>VLOOKUP("國民教育計畫",餘絀表!$C$16:$T$48,18,0)</f>
        <v>116075942</v>
      </c>
    </row>
    <row r="18" spans="1:10">
      <c r="A18" s="616"/>
      <c r="B18" s="618"/>
      <c r="C18" s="150" t="s">
        <v>346</v>
      </c>
      <c r="D18" s="166">
        <f>主要業務!H20</f>
        <v>61824</v>
      </c>
      <c r="E18" s="166">
        <f>VLOOKUP("建築及設備計畫",餘絀表!$C$16:$T$48,8,0)</f>
        <v>61824</v>
      </c>
    </row>
    <row r="19" spans="1:10">
      <c r="A19" s="616"/>
      <c r="B19" s="618"/>
      <c r="C19" s="150" t="s">
        <v>347</v>
      </c>
      <c r="D19" s="166">
        <f>主要業務!H22</f>
        <v>128248</v>
      </c>
      <c r="E19" s="166">
        <f>VLOOKUP("建築及設備計畫",餘絀表!$C$16:$T$48,18,0)</f>
        <v>128248</v>
      </c>
      <c r="H19" s="561" t="s">
        <v>353</v>
      </c>
      <c r="I19" s="561" t="s">
        <v>490</v>
      </c>
      <c r="J19" s="561" t="s">
        <v>491</v>
      </c>
    </row>
    <row r="20" spans="1:10">
      <c r="A20" s="616"/>
      <c r="B20" s="618"/>
      <c r="C20" s="150" t="s">
        <v>348</v>
      </c>
      <c r="D20" s="166">
        <f>VLOOKUP("用人費用",各項費用!$F$12:$Q$100,12,0)</f>
        <v>113077795</v>
      </c>
      <c r="E20" s="166">
        <f>VLOOKUP("人事支出",收支!$B$14:$N$64,13,0)</f>
        <v>113077795</v>
      </c>
      <c r="F20" s="166">
        <f>VLOOKUP("用人費用",對照表!$B$1:$E$29,4,0)</f>
        <v>113077795</v>
      </c>
      <c r="G20" s="548" t="s">
        <v>452</v>
      </c>
      <c r="H20" s="562">
        <f>I20+J20</f>
        <v>68955</v>
      </c>
      <c r="I20" s="563">
        <v>11039</v>
      </c>
      <c r="J20" s="563">
        <f>'[1]勾稽 (2)'!$H$20</f>
        <v>57916</v>
      </c>
    </row>
    <row r="21" spans="1:10">
      <c r="A21" s="616"/>
      <c r="B21" s="618"/>
      <c r="C21" s="150" t="s">
        <v>349</v>
      </c>
      <c r="D21" s="166">
        <f>IF(E21=0,0,資產!F10+H20+H21-H22)</f>
        <v>8811978</v>
      </c>
      <c r="E21" s="166">
        <f>VLOOKUP("折舊、折耗及攤銷",收支!$B$14:$N$64,13,0)</f>
        <v>8811978</v>
      </c>
      <c r="F21" s="166">
        <f>VLOOKUP("折舊、折耗及攤銷",對照表!$H$1:$J$29,3,0)</f>
        <v>8811978</v>
      </c>
      <c r="G21" s="548" t="s">
        <v>350</v>
      </c>
      <c r="H21" s="562">
        <f t="shared" ref="H21:H22" si="0">I21+J21</f>
        <v>1951347</v>
      </c>
      <c r="I21" s="563"/>
      <c r="J21" s="563">
        <f>'[1]勾稽 (2)'!$H$21</f>
        <v>1951347</v>
      </c>
    </row>
    <row r="22" spans="1:10">
      <c r="A22" s="616"/>
      <c r="B22" s="618"/>
      <c r="D22" s="153">
        <f>D21-E21</f>
        <v>0</v>
      </c>
      <c r="E22" s="153"/>
      <c r="F22" s="153"/>
      <c r="G22" s="548" t="s">
        <v>420</v>
      </c>
      <c r="H22" s="562">
        <f t="shared" si="0"/>
        <v>18466</v>
      </c>
      <c r="I22" s="563"/>
      <c r="J22" s="563">
        <f>'[1]勾稽 (2)'!$H$22</f>
        <v>18466</v>
      </c>
    </row>
    <row r="23" spans="1:10">
      <c r="A23" s="616"/>
      <c r="B23" s="655"/>
      <c r="C23" s="384"/>
      <c r="D23" s="397" t="str">
        <f>封面!H10&amp;封面!I10&amp;封面!J10&amp;封面!K10&amp;"會計報告各帳戶存款餘額"</f>
        <v>114年9月會計報告各帳戶存款餘額</v>
      </c>
      <c r="E23" s="400"/>
      <c r="F23" s="398"/>
      <c r="G23"/>
    </row>
    <row r="24" spans="1:10">
      <c r="A24" s="616"/>
      <c r="B24" s="655"/>
      <c r="C24" s="384"/>
      <c r="D24" s="385" t="s">
        <v>351</v>
      </c>
      <c r="E24" s="386" t="s">
        <v>352</v>
      </c>
      <c r="F24" s="387" t="s">
        <v>353</v>
      </c>
    </row>
    <row r="25" spans="1:10">
      <c r="A25" s="616"/>
      <c r="B25" s="655"/>
      <c r="C25" s="384" t="s">
        <v>442</v>
      </c>
      <c r="D25" s="389">
        <f>代收款!Y33</f>
        <v>1099971</v>
      </c>
      <c r="E25" s="389"/>
      <c r="F25" s="388">
        <f t="shared" ref="F25:F28" si="1">SUM(D25:E25)</f>
        <v>1099971</v>
      </c>
      <c r="H25" s="511" t="s">
        <v>477</v>
      </c>
      <c r="I25" s="512" t="s">
        <v>478</v>
      </c>
    </row>
    <row r="26" spans="1:10" ht="15" thickBot="1">
      <c r="A26" s="617"/>
      <c r="B26" s="656"/>
      <c r="C26" s="384" t="s">
        <v>445</v>
      </c>
      <c r="D26" s="389">
        <f>代收款!Y35</f>
        <v>1100041</v>
      </c>
      <c r="E26" s="389"/>
      <c r="F26" s="388">
        <f t="shared" si="1"/>
        <v>1100041</v>
      </c>
      <c r="G26" s="513">
        <f>專戶差額!G43+專戶差額!H43</f>
        <v>2200012</v>
      </c>
      <c r="H26" s="514">
        <f>IF($G$26=0,0,VLOOKUP(H25,平衡!$D$13:$H$84,5,0))</f>
        <v>2200012</v>
      </c>
      <c r="I26" s="514">
        <f>IF($G$26=0,0,VLOOKUP(I25,平衡!$N$13:$T$84,7,0))</f>
        <v>2200012</v>
      </c>
    </row>
    <row r="27" spans="1:10" ht="17.25" thickBot="1">
      <c r="A27" s="61" t="s">
        <v>131</v>
      </c>
      <c r="B27" s="383" t="s">
        <v>142</v>
      </c>
      <c r="C27" s="384" t="s">
        <v>443</v>
      </c>
      <c r="D27" s="490">
        <f>F27-E27</f>
        <v>7819988</v>
      </c>
      <c r="E27" s="409"/>
      <c r="F27" s="491">
        <f>F32-SUM(F25:F26,F28:F31)</f>
        <v>7819988</v>
      </c>
      <c r="G27" s="515" t="s">
        <v>479</v>
      </c>
      <c r="H27" s="516">
        <f>H26-$G$26</f>
        <v>0</v>
      </c>
      <c r="I27" s="516">
        <f>I26-$G$26</f>
        <v>0</v>
      </c>
    </row>
    <row r="28" spans="1:10" ht="16.899999999999999" customHeight="1" thickBot="1">
      <c r="A28" s="61" t="s">
        <v>66</v>
      </c>
      <c r="B28" s="383" t="s">
        <v>132</v>
      </c>
      <c r="C28" s="384" t="s">
        <v>185</v>
      </c>
      <c r="D28" s="409">
        <f>代收款!Y27</f>
        <v>0</v>
      </c>
      <c r="E28" s="409"/>
      <c r="F28" s="388">
        <f t="shared" si="1"/>
        <v>0</v>
      </c>
      <c r="H28" s="133"/>
    </row>
    <row r="29" spans="1:10" ht="17.25" thickBot="1">
      <c r="A29" s="61" t="s">
        <v>133</v>
      </c>
      <c r="B29" s="383" t="s">
        <v>134</v>
      </c>
      <c r="C29" s="384" t="s">
        <v>455</v>
      </c>
      <c r="D29" s="409">
        <f>代收款!Y31</f>
        <v>500</v>
      </c>
      <c r="E29" s="409"/>
      <c r="F29" s="388">
        <f t="shared" ref="F29:F30" si="2">SUM(D29:E29)</f>
        <v>500</v>
      </c>
    </row>
    <row r="30" spans="1:10">
      <c r="A30" s="615" t="s">
        <v>135</v>
      </c>
      <c r="B30" s="654" t="s">
        <v>136</v>
      </c>
      <c r="C30" s="384" t="s">
        <v>444</v>
      </c>
      <c r="D30" s="409">
        <f>代收款!Y182</f>
        <v>643651</v>
      </c>
      <c r="E30" s="409"/>
      <c r="F30" s="388">
        <f t="shared" si="2"/>
        <v>643651</v>
      </c>
    </row>
    <row r="31" spans="1:10">
      <c r="A31" s="618"/>
      <c r="B31" s="655"/>
      <c r="C31" s="384"/>
      <c r="D31" s="389"/>
      <c r="E31" s="389"/>
      <c r="F31" s="388">
        <f>SUM(D31:E31)</f>
        <v>0</v>
      </c>
    </row>
    <row r="32" spans="1:10" ht="15" thickBot="1">
      <c r="A32" s="617"/>
      <c r="B32" s="617"/>
      <c r="C32" s="390" t="s">
        <v>354</v>
      </c>
      <c r="D32" s="391">
        <f>SUM(D25:D31)</f>
        <v>10664151</v>
      </c>
      <c r="E32" s="391">
        <f>SUM(E25:E31)</f>
        <v>0</v>
      </c>
      <c r="F32" s="489">
        <f>VLOOKUP("銀行存款-專戶存款",平衡!$E$13:$H$89,4,0)</f>
        <v>10664151</v>
      </c>
    </row>
    <row r="33" spans="1:9" ht="15" thickBot="1">
      <c r="A33" s="167"/>
      <c r="B33" s="167"/>
      <c r="C33" s="390" t="s">
        <v>418</v>
      </c>
      <c r="D33" s="652">
        <f>SUM(D32:E32)</f>
        <v>10664151</v>
      </c>
      <c r="E33" s="653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53"/>
      <c r="G34" s="153"/>
      <c r="H34" s="153"/>
      <c r="I34" s="132"/>
    </row>
    <row r="35" spans="1:9" ht="15" thickBot="1">
      <c r="A35" s="167"/>
      <c r="B35" s="167"/>
      <c r="D35" s="150"/>
      <c r="E35" s="150"/>
      <c r="F35" s="153"/>
      <c r="G35" s="153"/>
      <c r="H35" s="153"/>
    </row>
    <row r="36" spans="1:9" ht="20.25" thickBot="1">
      <c r="A36" s="60"/>
      <c r="B36" s="60"/>
      <c r="D36" s="150"/>
      <c r="E36" s="150"/>
      <c r="F36" s="153"/>
      <c r="G36" s="153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5" priority="39" stopIfTrue="1">
      <formula>$D$16&lt;&gt;$E$16</formula>
    </cfRule>
  </conditionalFormatting>
  <conditionalFormatting sqref="D17:E17">
    <cfRule type="expression" dxfId="54" priority="38" stopIfTrue="1">
      <formula>$D17&lt;&gt;$E17</formula>
    </cfRule>
  </conditionalFormatting>
  <conditionalFormatting sqref="D18:E18 E19">
    <cfRule type="expression" dxfId="53" priority="37" stopIfTrue="1">
      <formula>$D$18&lt;&gt;$E$18</formula>
    </cfRule>
  </conditionalFormatting>
  <conditionalFormatting sqref="G33">
    <cfRule type="expression" dxfId="52" priority="35" stopIfTrue="1">
      <formula>$H$35&lt;&gt;0</formula>
    </cfRule>
  </conditionalFormatting>
  <conditionalFormatting sqref="G34">
    <cfRule type="expression" dxfId="51" priority="34" stopIfTrue="1">
      <formula>$F$34&lt;&gt;$G$34</formula>
    </cfRule>
  </conditionalFormatting>
  <conditionalFormatting sqref="G35">
    <cfRule type="expression" dxfId="50" priority="33" stopIfTrue="1">
      <formula>$H$35&lt;&gt;0</formula>
    </cfRule>
  </conditionalFormatting>
  <conditionalFormatting sqref="D14 F14:F15">
    <cfRule type="expression" dxfId="49" priority="31">
      <formula>$D$14&lt;&gt;$F$14</formula>
    </cfRule>
  </conditionalFormatting>
  <conditionalFormatting sqref="F15">
    <cfRule type="expression" dxfId="48" priority="28">
      <formula>$E$15&lt;&gt;$F$15</formula>
    </cfRule>
    <cfRule type="expression" dxfId="47" priority="29">
      <formula>$D$15&lt;&gt;$F$15</formula>
    </cfRule>
    <cfRule type="expression" dxfId="46" priority="30">
      <formula>$D$14&lt;&gt;$F$14</formula>
    </cfRule>
  </conditionalFormatting>
  <conditionalFormatting sqref="D15">
    <cfRule type="expression" dxfId="45" priority="26">
      <formula>$D$15&lt;&gt;$F$15</formula>
    </cfRule>
    <cfRule type="expression" dxfId="44" priority="27">
      <formula>$D$15&lt;&gt;$E$15</formula>
    </cfRule>
  </conditionalFormatting>
  <conditionalFormatting sqref="E15">
    <cfRule type="expression" dxfId="43" priority="24">
      <formula>$E$15&lt;&gt;$F$15</formula>
    </cfRule>
    <cfRule type="expression" dxfId="42" priority="25">
      <formula>$D$15&lt;&gt;$E$15</formula>
    </cfRule>
  </conditionalFormatting>
  <conditionalFormatting sqref="D6:E6">
    <cfRule type="expression" dxfId="41" priority="23">
      <formula>$D$6&lt;&gt;$E$6</formula>
    </cfRule>
  </conditionalFormatting>
  <conditionalFormatting sqref="D8:E8">
    <cfRule type="expression" dxfId="40" priority="22">
      <formula>$D$8&lt;&gt;$E$8</formula>
    </cfRule>
  </conditionalFormatting>
  <conditionalFormatting sqref="E16:E19">
    <cfRule type="expression" dxfId="39" priority="21" stopIfTrue="1">
      <formula>#REF!&lt;&gt;#REF!</formula>
    </cfRule>
  </conditionalFormatting>
  <conditionalFormatting sqref="D20:F20">
    <cfRule type="expression" dxfId="38" priority="19">
      <formula>$D$20&lt;&gt;$E$20</formula>
    </cfRule>
  </conditionalFormatting>
  <conditionalFormatting sqref="D20:F20">
    <cfRule type="expression" dxfId="37" priority="18">
      <formula>$E$20&lt;&gt;$F$20</formula>
    </cfRule>
  </conditionalFormatting>
  <conditionalFormatting sqref="D21:F22 D23:D24 F23">
    <cfRule type="expression" dxfId="36" priority="17">
      <formula>$D$21&lt;&gt;$E$21</formula>
    </cfRule>
  </conditionalFormatting>
  <conditionalFormatting sqref="D21:F22 D23:D24 F23">
    <cfRule type="expression" dxfId="35" priority="16">
      <formula>$D$21&lt;&gt;$F$21</formula>
    </cfRule>
  </conditionalFormatting>
  <conditionalFormatting sqref="D9:F9">
    <cfRule type="expression" dxfId="34" priority="14">
      <formula>$D$9&lt;&gt;$F$9</formula>
    </cfRule>
    <cfRule type="expression" dxfId="33" priority="15">
      <formula>$D$9&lt;&gt;$E$9</formula>
    </cfRule>
  </conditionalFormatting>
  <conditionalFormatting sqref="D10:G10">
    <cfRule type="expression" dxfId="32" priority="13">
      <formula>$D$10&lt;&gt;$E$10</formula>
    </cfRule>
  </conditionalFormatting>
  <conditionalFormatting sqref="F12:G12">
    <cfRule type="expression" dxfId="31" priority="12">
      <formula>$F$12&lt;&gt;$G$12</formula>
    </cfRule>
  </conditionalFormatting>
  <conditionalFormatting sqref="F36:G36">
    <cfRule type="expression" dxfId="30" priority="11" stopIfTrue="1">
      <formula>$F$36&lt;&gt;$G$36</formula>
    </cfRule>
  </conditionalFormatting>
  <conditionalFormatting sqref="E13:F13">
    <cfRule type="expression" dxfId="29" priority="8">
      <formula>$E$13&lt;&gt;$F$13</formula>
    </cfRule>
  </conditionalFormatting>
  <conditionalFormatting sqref="E23">
    <cfRule type="expression" dxfId="28" priority="7">
      <formula>$D$21&lt;&gt;$E$21</formula>
    </cfRule>
  </conditionalFormatting>
  <conditionalFormatting sqref="E23">
    <cfRule type="expression" dxfId="27" priority="6">
      <formula>$D$21&lt;&gt;$F$21</formula>
    </cfRule>
  </conditionalFormatting>
  <conditionalFormatting sqref="F25:F28">
    <cfRule type="expression" dxfId="26" priority="103" stopIfTrue="1">
      <formula>#REF!&lt;&gt;#REF!</formula>
    </cfRule>
  </conditionalFormatting>
  <conditionalFormatting sqref="F31">
    <cfRule type="expression" dxfId="25" priority="104" stopIfTrue="1">
      <formula>$F32&lt;&gt;#REF!</formula>
    </cfRule>
  </conditionalFormatting>
  <conditionalFormatting sqref="F25:F32">
    <cfRule type="expression" dxfId="24" priority="105" stopIfTrue="1">
      <formula>$F25&lt;&gt;#REF!</formula>
    </cfRule>
  </conditionalFormatting>
  <conditionalFormatting sqref="H27">
    <cfRule type="cellIs" dxfId="23" priority="2" operator="notEqual">
      <formula>0</formula>
    </cfRule>
  </conditionalFormatting>
  <conditionalFormatting sqref="I27">
    <cfRule type="cellIs" dxfId="22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2"/>
    <col min="7" max="7" width="10.42578125" style="412" bestFit="1" customWidth="1"/>
    <col min="8" max="8" width="14" style="412" customWidth="1"/>
    <col min="9" max="9" width="9.28515625" style="412" bestFit="1" customWidth="1"/>
    <col min="10" max="10" width="9.140625" style="412"/>
    <col min="11" max="12" width="6.85546875" style="412" bestFit="1" customWidth="1"/>
    <col min="13" max="13" width="11.85546875" style="412" customWidth="1"/>
    <col min="14" max="14" width="9.140625" style="412"/>
    <col min="15" max="15" width="11.7109375" style="412" bestFit="1" customWidth="1"/>
    <col min="16" max="16384" width="9.140625" style="412"/>
  </cols>
  <sheetData>
    <row r="1" spans="1:15" ht="36.75">
      <c r="A1" s="411" t="s">
        <v>462</v>
      </c>
    </row>
    <row r="4" spans="1:15" ht="36.75">
      <c r="A4" s="657" t="s">
        <v>446</v>
      </c>
      <c r="B4" s="658"/>
      <c r="C4" s="658"/>
      <c r="D4" s="658"/>
      <c r="E4" s="658"/>
      <c r="F4" s="658"/>
      <c r="G4" s="658"/>
      <c r="H4" s="658"/>
      <c r="I4" s="658"/>
      <c r="J4" s="658"/>
      <c r="K4" s="658"/>
      <c r="L4" s="658"/>
      <c r="M4" s="658"/>
      <c r="N4" s="658"/>
    </row>
    <row r="5" spans="1:15" ht="59.25" customHeight="1"/>
    <row r="6" spans="1:15" ht="59.25" customHeight="1"/>
    <row r="7" spans="1:15" ht="36.75">
      <c r="C7" s="659" t="s">
        <v>116</v>
      </c>
      <c r="D7" s="659"/>
      <c r="E7" s="659"/>
      <c r="F7" s="659"/>
      <c r="G7" s="659"/>
      <c r="H7" s="659"/>
      <c r="I7" s="659"/>
      <c r="J7" s="659"/>
      <c r="K7" s="659"/>
      <c r="L7" s="659"/>
    </row>
    <row r="8" spans="1:15" ht="51.75" customHeight="1"/>
    <row r="9" spans="1:15" ht="51.75" customHeight="1">
      <c r="O9" s="497">
        <f>IF(MOD(H10+1911,4)=0,1,0)</f>
        <v>0</v>
      </c>
    </row>
    <row r="10" spans="1:15" s="413" customFormat="1" ht="32.25">
      <c r="C10" s="414"/>
      <c r="D10" s="414"/>
      <c r="E10" s="661" t="s">
        <v>117</v>
      </c>
      <c r="F10" s="661"/>
      <c r="G10" s="661"/>
      <c r="H10" s="413">
        <v>114</v>
      </c>
      <c r="I10" s="413" t="s">
        <v>118</v>
      </c>
      <c r="J10" s="413">
        <v>9</v>
      </c>
      <c r="K10" s="415" t="s">
        <v>119</v>
      </c>
      <c r="L10" s="416" t="s">
        <v>122</v>
      </c>
      <c r="O10" s="498">
        <f>IF(J10=0,0,IF(J10=2,28+O9,IF(OR(J10=1,J10=3,J10=5,J10=7,J10=8,J10=10,J10=12),31,30)))</f>
        <v>30</v>
      </c>
    </row>
    <row r="15" spans="1:15" s="417" customFormat="1" ht="34.5" customHeight="1">
      <c r="B15" s="660" t="s">
        <v>120</v>
      </c>
      <c r="C15" s="660"/>
      <c r="D15" s="660"/>
      <c r="E15" s="660"/>
      <c r="F15" s="660"/>
      <c r="I15" s="417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1"/>
  <sheetViews>
    <sheetView showGridLines="0" showOutlineSymbols="0" view="pageBreakPreview" topLeftCell="A7" zoomScaleSheetLayoutView="100" workbookViewId="0">
      <selection activeCell="A26" sqref="A26:XFD26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65"/>
      <c r="AF1" s="665"/>
      <c r="AG1" s="665"/>
      <c r="AH1" s="665"/>
      <c r="AI1" s="665"/>
    </row>
    <row r="2" spans="2:35" ht="9" customHeight="1">
      <c r="B2" s="374"/>
      <c r="C2" s="669" t="str">
        <f>封面!$A$4</f>
        <v>彰化縣地方教育發展基金－彰化縣彰化市民生國民小學</v>
      </c>
      <c r="D2" s="669"/>
      <c r="E2" s="669"/>
      <c r="F2" s="669"/>
      <c r="G2" s="669"/>
      <c r="H2" s="669"/>
      <c r="I2" s="669"/>
      <c r="J2" s="669"/>
      <c r="K2" s="669"/>
      <c r="L2" s="669"/>
      <c r="M2" s="669"/>
      <c r="N2" s="669"/>
      <c r="O2" s="669"/>
      <c r="P2" s="669"/>
      <c r="Q2" s="669"/>
      <c r="R2" s="669"/>
      <c r="S2" s="669"/>
      <c r="T2" s="669"/>
      <c r="U2" s="669"/>
      <c r="V2" s="669"/>
      <c r="W2" s="669"/>
      <c r="X2" s="669"/>
      <c r="Y2" s="669"/>
      <c r="Z2" s="669"/>
      <c r="AA2" s="669"/>
      <c r="AB2" s="669"/>
      <c r="AC2" s="669"/>
      <c r="AD2" s="669"/>
      <c r="AE2" s="665"/>
      <c r="AF2" s="665"/>
      <c r="AG2" s="665"/>
      <c r="AH2" s="665"/>
      <c r="AI2" s="665"/>
    </row>
    <row r="3" spans="2:35" ht="18" customHeight="1">
      <c r="B3" s="374"/>
      <c r="C3" s="669"/>
      <c r="D3" s="669"/>
      <c r="E3" s="669"/>
      <c r="F3" s="669"/>
      <c r="G3" s="669"/>
      <c r="H3" s="669"/>
      <c r="I3" s="669"/>
      <c r="J3" s="669"/>
      <c r="K3" s="669"/>
      <c r="L3" s="669"/>
      <c r="M3" s="669"/>
      <c r="N3" s="669"/>
      <c r="O3" s="669"/>
      <c r="P3" s="669"/>
      <c r="Q3" s="669"/>
      <c r="R3" s="669"/>
      <c r="S3" s="669"/>
      <c r="T3" s="669"/>
      <c r="U3" s="669"/>
      <c r="V3" s="669"/>
      <c r="W3" s="669"/>
      <c r="X3" s="669"/>
      <c r="Y3" s="669"/>
      <c r="Z3" s="669"/>
      <c r="AA3" s="669"/>
      <c r="AB3" s="669"/>
      <c r="AC3" s="669"/>
      <c r="AD3" s="669"/>
    </row>
    <row r="4" spans="2:35" ht="24" customHeight="1">
      <c r="B4" s="666" t="s">
        <v>9</v>
      </c>
      <c r="C4" s="666"/>
      <c r="D4" s="666"/>
      <c r="E4" s="666"/>
      <c r="F4" s="666"/>
      <c r="G4" s="666"/>
      <c r="H4" s="666"/>
      <c r="I4" s="666"/>
      <c r="J4" s="666"/>
      <c r="K4" s="666"/>
      <c r="L4" s="666"/>
      <c r="M4" s="666"/>
      <c r="N4" s="666"/>
      <c r="O4" s="666"/>
      <c r="P4" s="666"/>
      <c r="Q4" s="666"/>
      <c r="R4" s="666"/>
      <c r="S4" s="666"/>
      <c r="T4" s="666"/>
      <c r="U4" s="666"/>
      <c r="V4" s="666"/>
      <c r="W4" s="666"/>
      <c r="X4" s="666"/>
      <c r="Y4" s="666"/>
      <c r="Z4" s="666"/>
      <c r="AA4" s="666"/>
      <c r="AB4" s="666"/>
      <c r="AC4" s="666"/>
      <c r="AD4" s="666"/>
    </row>
    <row r="5" spans="2:35" ht="7.5" customHeight="1">
      <c r="C5" s="667" t="str">
        <f>封面!$E$10&amp;封面!$H$10&amp;封面!$I$10&amp;封面!$J$10&amp;封面!$K$10&amp;封面!L10</f>
        <v>中華民國114年9月份</v>
      </c>
      <c r="D5" s="667"/>
      <c r="E5" s="667"/>
      <c r="F5" s="667"/>
      <c r="G5" s="667"/>
      <c r="H5" s="667"/>
      <c r="I5" s="667"/>
      <c r="J5" s="667"/>
      <c r="K5" s="667"/>
      <c r="L5" s="667"/>
      <c r="M5" s="667"/>
      <c r="N5" s="667"/>
      <c r="O5" s="667"/>
      <c r="P5" s="667"/>
      <c r="Q5" s="667"/>
      <c r="R5" s="667"/>
      <c r="S5" s="667"/>
      <c r="T5" s="667"/>
      <c r="U5" s="667"/>
      <c r="V5" s="667"/>
      <c r="W5" s="667"/>
      <c r="X5" s="667"/>
      <c r="Y5" s="667"/>
      <c r="Z5" s="667"/>
      <c r="AA5" s="667"/>
      <c r="AB5" s="667"/>
      <c r="AC5" s="667"/>
      <c r="AD5" s="667"/>
    </row>
    <row r="6" spans="2:35" ht="13.9" customHeight="1">
      <c r="C6" s="667"/>
      <c r="D6" s="667"/>
      <c r="E6" s="667"/>
      <c r="F6" s="667"/>
      <c r="G6" s="667"/>
      <c r="H6" s="667"/>
      <c r="I6" s="667"/>
      <c r="J6" s="667"/>
      <c r="K6" s="667"/>
      <c r="L6" s="667"/>
      <c r="M6" s="667"/>
      <c r="N6" s="667"/>
      <c r="O6" s="667"/>
      <c r="P6" s="667"/>
      <c r="Q6" s="667"/>
      <c r="R6" s="667"/>
      <c r="S6" s="667"/>
      <c r="T6" s="667"/>
      <c r="U6" s="667"/>
      <c r="V6" s="667"/>
      <c r="W6" s="667"/>
      <c r="X6" s="667"/>
      <c r="Y6" s="667"/>
      <c r="Z6" s="667"/>
      <c r="AA6" s="667"/>
      <c r="AB6" s="667"/>
      <c r="AC6" s="667"/>
      <c r="AD6" s="667"/>
    </row>
    <row r="7" spans="2:35" ht="16.149999999999999" customHeight="1">
      <c r="Y7" s="668" t="s">
        <v>1</v>
      </c>
      <c r="Z7" s="668"/>
      <c r="AA7" s="668"/>
      <c r="AB7" s="668"/>
      <c r="AC7" s="668"/>
      <c r="AD7" s="668"/>
    </row>
    <row r="8" spans="2:35" ht="3.75" customHeight="1"/>
    <row r="9" spans="2:35" s="70" customFormat="1" ht="12.75" customHeight="1">
      <c r="C9" s="662" t="s">
        <v>355</v>
      </c>
      <c r="D9" s="662"/>
      <c r="E9" s="373"/>
      <c r="F9" s="373"/>
      <c r="G9" s="681" t="s">
        <v>422</v>
      </c>
      <c r="H9" s="373"/>
      <c r="I9" s="373"/>
      <c r="J9" s="670" t="s">
        <v>10</v>
      </c>
      <c r="K9" s="671"/>
      <c r="L9" s="671"/>
      <c r="M9" s="671"/>
      <c r="N9" s="671"/>
      <c r="O9" s="671"/>
      <c r="P9" s="671"/>
      <c r="Q9" s="672"/>
      <c r="R9" s="373"/>
      <c r="S9" s="373"/>
      <c r="T9" s="670" t="s">
        <v>11</v>
      </c>
      <c r="U9" s="671"/>
      <c r="V9" s="671"/>
      <c r="W9" s="671"/>
      <c r="X9" s="671"/>
      <c r="Y9" s="671"/>
      <c r="Z9" s="671"/>
      <c r="AA9" s="671"/>
      <c r="AB9" s="671"/>
      <c r="AC9" s="671"/>
      <c r="AD9" s="672"/>
      <c r="AG9" s="183"/>
    </row>
    <row r="10" spans="2:35" s="70" customFormat="1" ht="15.6" hidden="1" customHeight="1">
      <c r="C10" s="373"/>
      <c r="D10" s="399"/>
      <c r="E10" s="373"/>
      <c r="F10" s="373"/>
      <c r="G10" s="689"/>
      <c r="H10" s="372"/>
      <c r="I10" s="373"/>
      <c r="J10" s="676"/>
      <c r="K10" s="677"/>
      <c r="L10" s="677"/>
      <c r="M10" s="677"/>
      <c r="N10" s="677"/>
      <c r="O10" s="677"/>
      <c r="P10" s="677"/>
      <c r="Q10" s="678"/>
      <c r="R10" s="373"/>
      <c r="S10" s="373"/>
      <c r="T10" s="676"/>
      <c r="U10" s="677"/>
      <c r="V10" s="677"/>
      <c r="W10" s="677"/>
      <c r="X10" s="677"/>
      <c r="Y10" s="677"/>
      <c r="Z10" s="677"/>
      <c r="AA10" s="677"/>
      <c r="AB10" s="677"/>
      <c r="AC10" s="677"/>
      <c r="AD10" s="678"/>
      <c r="AG10" s="183"/>
    </row>
    <row r="11" spans="2:35" s="70" customFormat="1" ht="25.15" hidden="1" customHeight="1">
      <c r="C11" s="373"/>
      <c r="D11" s="373"/>
      <c r="E11" s="373"/>
      <c r="F11" s="373"/>
      <c r="G11" s="689"/>
      <c r="H11" s="372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G11" s="183"/>
    </row>
    <row r="12" spans="2:35" s="70" customFormat="1" ht="15" customHeight="1">
      <c r="C12" s="663" t="s">
        <v>421</v>
      </c>
      <c r="D12" s="662" t="s">
        <v>7</v>
      </c>
      <c r="E12" s="373"/>
      <c r="F12" s="373"/>
      <c r="G12" s="689"/>
      <c r="H12" s="372"/>
      <c r="I12" s="373"/>
      <c r="J12" s="681" t="s">
        <v>13</v>
      </c>
      <c r="K12" s="681" t="s">
        <v>13</v>
      </c>
      <c r="L12" s="373"/>
      <c r="M12" s="681" t="s">
        <v>14</v>
      </c>
      <c r="N12" s="670" t="s">
        <v>12</v>
      </c>
      <c r="O12" s="671"/>
      <c r="P12" s="671"/>
      <c r="Q12" s="671"/>
      <c r="R12" s="672"/>
      <c r="S12" s="373"/>
      <c r="T12" s="690" t="s">
        <v>356</v>
      </c>
      <c r="U12" s="373"/>
      <c r="V12" s="373"/>
      <c r="W12" s="670" t="s">
        <v>14</v>
      </c>
      <c r="X12" s="671"/>
      <c r="Y12" s="672"/>
      <c r="Z12" s="373"/>
      <c r="AA12" s="683" t="s">
        <v>12</v>
      </c>
      <c r="AB12" s="684"/>
      <c r="AC12" s="684"/>
      <c r="AD12" s="685"/>
      <c r="AG12" s="183"/>
    </row>
    <row r="13" spans="2:35" s="70" customFormat="1" ht="14.25" customHeight="1">
      <c r="C13" s="664"/>
      <c r="D13" s="662"/>
      <c r="E13" s="375"/>
      <c r="F13" s="373"/>
      <c r="G13" s="689"/>
      <c r="H13" s="372"/>
      <c r="I13" s="373"/>
      <c r="J13" s="689"/>
      <c r="K13" s="689"/>
      <c r="L13" s="373"/>
      <c r="M13" s="689"/>
      <c r="N13" s="676"/>
      <c r="O13" s="677"/>
      <c r="P13" s="677"/>
      <c r="Q13" s="677"/>
      <c r="R13" s="678"/>
      <c r="S13" s="373"/>
      <c r="T13" s="691"/>
      <c r="U13" s="679"/>
      <c r="V13" s="373"/>
      <c r="W13" s="673"/>
      <c r="X13" s="674"/>
      <c r="Y13" s="675"/>
      <c r="Z13" s="373"/>
      <c r="AA13" s="686"/>
      <c r="AB13" s="687"/>
      <c r="AC13" s="687"/>
      <c r="AD13" s="688"/>
      <c r="AG13" s="183"/>
    </row>
    <row r="14" spans="2:35" s="70" customFormat="1" ht="13.5" hidden="1" customHeight="1">
      <c r="C14" s="664"/>
      <c r="D14" s="662"/>
      <c r="E14" s="375"/>
      <c r="F14" s="373"/>
      <c r="G14" s="689"/>
      <c r="H14" s="373"/>
      <c r="I14" s="373"/>
      <c r="J14" s="689"/>
      <c r="K14" s="689"/>
      <c r="L14" s="373"/>
      <c r="M14" s="689"/>
      <c r="N14" s="681" t="s">
        <v>4</v>
      </c>
      <c r="O14" s="681" t="s">
        <v>4</v>
      </c>
      <c r="P14" s="373"/>
      <c r="Q14" s="670" t="s">
        <v>5</v>
      </c>
      <c r="R14" s="672"/>
      <c r="S14" s="373"/>
      <c r="T14" s="691"/>
      <c r="U14" s="680"/>
      <c r="V14" s="373"/>
      <c r="W14" s="673"/>
      <c r="X14" s="674"/>
      <c r="Y14" s="675"/>
      <c r="Z14" s="373"/>
      <c r="AA14" s="679" t="s">
        <v>4</v>
      </c>
      <c r="AB14" s="373"/>
      <c r="AC14" s="373"/>
      <c r="AD14" s="679" t="s">
        <v>5</v>
      </c>
      <c r="AG14" s="183"/>
    </row>
    <row r="15" spans="2:35" s="70" customFormat="1" ht="18" customHeight="1">
      <c r="C15" s="664"/>
      <c r="D15" s="662"/>
      <c r="E15" s="375"/>
      <c r="F15" s="373"/>
      <c r="G15" s="682"/>
      <c r="H15" s="373"/>
      <c r="I15" s="373"/>
      <c r="J15" s="682"/>
      <c r="K15" s="682"/>
      <c r="L15" s="373"/>
      <c r="M15" s="682"/>
      <c r="N15" s="682"/>
      <c r="O15" s="682"/>
      <c r="P15" s="373"/>
      <c r="Q15" s="676"/>
      <c r="R15" s="678"/>
      <c r="S15" s="373"/>
      <c r="T15" s="692"/>
      <c r="U15" s="373"/>
      <c r="V15" s="373"/>
      <c r="W15" s="676"/>
      <c r="X15" s="677"/>
      <c r="Y15" s="678"/>
      <c r="Z15" s="373"/>
      <c r="AA15" s="680"/>
      <c r="AB15" s="373"/>
      <c r="AC15" s="373"/>
      <c r="AD15" s="680"/>
      <c r="AG15" s="183"/>
    </row>
    <row r="16" spans="2:35" ht="15">
      <c r="C16" s="326" t="s">
        <v>15</v>
      </c>
      <c r="D16" s="359" t="s">
        <v>357</v>
      </c>
      <c r="E16" s="327"/>
      <c r="F16" s="71"/>
      <c r="G16" s="143">
        <v>134807000</v>
      </c>
      <c r="H16" s="143"/>
      <c r="I16" s="143"/>
      <c r="J16" s="143">
        <v>9449971</v>
      </c>
      <c r="K16" s="143"/>
      <c r="L16" s="143"/>
      <c r="M16" s="143">
        <v>9501000</v>
      </c>
      <c r="N16" s="144">
        <v>-51029</v>
      </c>
      <c r="O16" s="144"/>
      <c r="P16" s="92"/>
      <c r="Q16" s="149">
        <v>-0.53709083254394274</v>
      </c>
      <c r="R16" s="92"/>
      <c r="S16" s="175"/>
      <c r="T16" s="177">
        <v>115417436</v>
      </c>
      <c r="U16" s="143"/>
      <c r="V16" s="144"/>
      <c r="W16" s="180">
        <v>115728000</v>
      </c>
      <c r="X16" s="177"/>
      <c r="Y16" s="143"/>
      <c r="Z16" s="144"/>
      <c r="AA16" s="148">
        <v>-310564</v>
      </c>
      <c r="AB16" s="92"/>
      <c r="AC16" s="92"/>
      <c r="AD16" s="149">
        <v>-0.26835683672058619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1" t="s">
        <v>16</v>
      </c>
      <c r="D17" s="359" t="s">
        <v>358</v>
      </c>
      <c r="E17" s="343"/>
      <c r="F17" s="73"/>
      <c r="G17" s="145">
        <v>358000</v>
      </c>
      <c r="H17" s="145"/>
      <c r="I17" s="145"/>
      <c r="J17" s="145"/>
      <c r="K17" s="146"/>
      <c r="L17" s="146"/>
      <c r="M17" s="146">
        <v>50000</v>
      </c>
      <c r="N17" s="146">
        <v>-50000</v>
      </c>
      <c r="O17" s="146"/>
      <c r="P17" s="93"/>
      <c r="Q17" s="95">
        <v>-100</v>
      </c>
      <c r="R17" s="93"/>
      <c r="S17" s="176"/>
      <c r="T17" s="179">
        <v>250121</v>
      </c>
      <c r="U17" s="146"/>
      <c r="V17" s="146"/>
      <c r="W17" s="181">
        <v>258000</v>
      </c>
      <c r="X17" s="178"/>
      <c r="Y17" s="146"/>
      <c r="Z17" s="146"/>
      <c r="AA17" s="146">
        <v>-7879</v>
      </c>
      <c r="AB17" s="93"/>
      <c r="AC17" s="93"/>
      <c r="AD17" s="95">
        <v>-3.0538759689922479</v>
      </c>
      <c r="AF17" s="69">
        <v>2</v>
      </c>
      <c r="AG17" s="182" t="str">
        <f t="shared" ref="AG17:AG48" si="0">IF(LEN(D17)&lt;3,"",IF(OR(ABS(AD17)&gt;20,ABS(AA17)&gt;10000000,AND(T17&gt;0,W17=0)),"填寫說明",""))</f>
        <v/>
      </c>
    </row>
    <row r="18" spans="3:34" ht="15">
      <c r="C18" s="344" t="s">
        <v>17</v>
      </c>
      <c r="D18" s="359" t="s">
        <v>359</v>
      </c>
      <c r="E18" s="342"/>
      <c r="F18" s="73"/>
      <c r="G18" s="145">
        <v>358000</v>
      </c>
      <c r="H18" s="145"/>
      <c r="I18" s="145"/>
      <c r="J18" s="145"/>
      <c r="K18" s="146"/>
      <c r="L18" s="146"/>
      <c r="M18" s="146">
        <v>50000</v>
      </c>
      <c r="N18" s="146">
        <v>-50000</v>
      </c>
      <c r="O18" s="146"/>
      <c r="P18" s="93"/>
      <c r="Q18" s="95">
        <v>-100</v>
      </c>
      <c r="R18" s="93"/>
      <c r="S18" s="176"/>
      <c r="T18" s="179">
        <v>250121</v>
      </c>
      <c r="U18" s="146"/>
      <c r="V18" s="146"/>
      <c r="W18" s="181">
        <v>258000</v>
      </c>
      <c r="X18" s="178"/>
      <c r="Y18" s="146"/>
      <c r="Z18" s="146"/>
      <c r="AA18" s="146">
        <v>-7879</v>
      </c>
      <c r="AB18" s="93"/>
      <c r="AC18" s="93"/>
      <c r="AD18" s="95">
        <v>-3.0538759689922479</v>
      </c>
      <c r="AF18" s="69">
        <v>3</v>
      </c>
      <c r="AG18" s="182" t="str">
        <f t="shared" si="0"/>
        <v/>
      </c>
    </row>
    <row r="19" spans="3:34" ht="15">
      <c r="C19" s="341" t="s">
        <v>18</v>
      </c>
      <c r="D19" s="359" t="s">
        <v>360</v>
      </c>
      <c r="E19" s="343"/>
      <c r="F19" s="73"/>
      <c r="G19" s="145">
        <v>82000</v>
      </c>
      <c r="H19" s="145"/>
      <c r="I19" s="145"/>
      <c r="J19" s="145">
        <v>1971</v>
      </c>
      <c r="K19" s="145"/>
      <c r="L19" s="145"/>
      <c r="M19" s="145">
        <v>3000</v>
      </c>
      <c r="N19" s="146">
        <v>-1029</v>
      </c>
      <c r="O19" s="146"/>
      <c r="P19" s="93"/>
      <c r="Q19" s="95">
        <v>-34.299999999999997</v>
      </c>
      <c r="R19" s="93"/>
      <c r="S19" s="176"/>
      <c r="T19" s="179">
        <v>38626</v>
      </c>
      <c r="U19" s="145"/>
      <c r="V19" s="146"/>
      <c r="W19" s="181">
        <v>44000</v>
      </c>
      <c r="X19" s="179"/>
      <c r="Y19" s="145"/>
      <c r="Z19" s="146"/>
      <c r="AA19" s="146">
        <v>-5374</v>
      </c>
      <c r="AB19" s="93"/>
      <c r="AC19" s="93"/>
      <c r="AD19" s="95">
        <v>-12.213636363636363</v>
      </c>
      <c r="AF19" s="69">
        <v>4</v>
      </c>
      <c r="AG19" s="182" t="str">
        <f t="shared" si="0"/>
        <v/>
      </c>
    </row>
    <row r="20" spans="3:34" ht="15">
      <c r="C20" s="344" t="s">
        <v>361</v>
      </c>
      <c r="D20" s="359">
        <v>451</v>
      </c>
      <c r="E20" s="73"/>
      <c r="F20" s="73"/>
      <c r="G20" s="145">
        <v>12000</v>
      </c>
      <c r="H20" s="145"/>
      <c r="I20" s="145"/>
      <c r="J20" s="145">
        <v>1971</v>
      </c>
      <c r="K20" s="145"/>
      <c r="L20" s="145"/>
      <c r="M20" s="145">
        <v>3000</v>
      </c>
      <c r="N20" s="146">
        <v>-1029</v>
      </c>
      <c r="O20" s="146"/>
      <c r="P20" s="93"/>
      <c r="Q20" s="95">
        <v>-34.299999999999997</v>
      </c>
      <c r="R20" s="93"/>
      <c r="S20" s="176"/>
      <c r="T20" s="354">
        <v>4527</v>
      </c>
      <c r="U20" s="145"/>
      <c r="V20" s="146"/>
      <c r="W20" s="354">
        <v>9000</v>
      </c>
      <c r="X20" s="179"/>
      <c r="Y20" s="145"/>
      <c r="Z20" s="146"/>
      <c r="AA20" s="146">
        <v>-4473</v>
      </c>
      <c r="AB20" s="93"/>
      <c r="AC20" s="93"/>
      <c r="AD20" s="95">
        <v>-49.7</v>
      </c>
      <c r="AF20" s="69">
        <v>5</v>
      </c>
      <c r="AG20" s="182" t="str">
        <f t="shared" si="0"/>
        <v>填寫說明</v>
      </c>
    </row>
    <row r="21" spans="3:34" ht="15">
      <c r="C21" s="344" t="s">
        <v>19</v>
      </c>
      <c r="D21" s="359" t="s">
        <v>362</v>
      </c>
      <c r="E21" s="343"/>
      <c r="F21" s="73"/>
      <c r="G21" s="145">
        <v>70000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>
        <v>34099</v>
      </c>
      <c r="U21" s="146"/>
      <c r="V21" s="146"/>
      <c r="W21" s="181">
        <v>35000</v>
      </c>
      <c r="X21" s="179"/>
      <c r="Y21" s="145"/>
      <c r="Z21" s="145"/>
      <c r="AA21" s="145">
        <v>-901</v>
      </c>
      <c r="AB21" s="93"/>
      <c r="AC21" s="95"/>
      <c r="AD21" s="95">
        <v>-2.5742857142857138</v>
      </c>
      <c r="AF21" s="69">
        <v>6</v>
      </c>
      <c r="AG21" s="182" t="str">
        <f t="shared" si="0"/>
        <v/>
      </c>
    </row>
    <row r="22" spans="3:34" ht="15">
      <c r="C22" s="341" t="s">
        <v>363</v>
      </c>
      <c r="D22" s="359" t="s">
        <v>364</v>
      </c>
      <c r="E22" s="342"/>
      <c r="F22" s="73"/>
      <c r="G22" s="145">
        <v>134362000</v>
      </c>
      <c r="H22" s="145"/>
      <c r="I22" s="145"/>
      <c r="J22" s="145">
        <v>9448000</v>
      </c>
      <c r="K22" s="146"/>
      <c r="L22" s="146"/>
      <c r="M22" s="146">
        <v>9448000</v>
      </c>
      <c r="N22" s="146"/>
      <c r="O22" s="146"/>
      <c r="P22" s="93"/>
      <c r="Q22" s="95"/>
      <c r="R22" s="93"/>
      <c r="S22" s="176"/>
      <c r="T22" s="179">
        <v>115123255</v>
      </c>
      <c r="U22" s="146"/>
      <c r="V22" s="146"/>
      <c r="W22" s="181">
        <v>115424000</v>
      </c>
      <c r="X22" s="179"/>
      <c r="Y22" s="145"/>
      <c r="Z22" s="145"/>
      <c r="AA22" s="145">
        <v>-300745</v>
      </c>
      <c r="AB22" s="93"/>
      <c r="AC22" s="95"/>
      <c r="AD22" s="95">
        <v>-0.26055672996950374</v>
      </c>
      <c r="AF22" s="69">
        <v>7</v>
      </c>
      <c r="AG22" s="182" t="str">
        <f t="shared" si="0"/>
        <v/>
      </c>
    </row>
    <row r="23" spans="3:34" ht="15">
      <c r="C23" s="344" t="s">
        <v>21</v>
      </c>
      <c r="D23" s="359" t="s">
        <v>365</v>
      </c>
      <c r="E23" s="343"/>
      <c r="F23" s="73"/>
      <c r="G23" s="145">
        <v>134362000</v>
      </c>
      <c r="H23" s="145"/>
      <c r="I23" s="145"/>
      <c r="J23" s="145">
        <v>9448000</v>
      </c>
      <c r="K23" s="145"/>
      <c r="L23" s="145"/>
      <c r="M23" s="145">
        <v>9448000</v>
      </c>
      <c r="N23" s="145"/>
      <c r="O23" s="145"/>
      <c r="P23" s="94"/>
      <c r="Q23" s="95"/>
      <c r="R23" s="95"/>
      <c r="S23" s="176"/>
      <c r="T23" s="179">
        <v>115123255</v>
      </c>
      <c r="U23" s="145"/>
      <c r="V23" s="146"/>
      <c r="W23" s="181">
        <v>115424000</v>
      </c>
      <c r="X23" s="179"/>
      <c r="Y23" s="145"/>
      <c r="Z23" s="145"/>
      <c r="AA23" s="145">
        <v>-300745</v>
      </c>
      <c r="AB23" s="93"/>
      <c r="AC23" s="95"/>
      <c r="AD23" s="95">
        <v>-0.26055672996950374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59" t="s">
        <v>366</v>
      </c>
      <c r="E24" s="73"/>
      <c r="F24" s="73"/>
      <c r="G24" s="145">
        <v>5000</v>
      </c>
      <c r="H24" s="145"/>
      <c r="I24" s="145"/>
      <c r="J24" s="145"/>
      <c r="K24" s="145"/>
      <c r="L24" s="145"/>
      <c r="M24" s="145"/>
      <c r="N24" s="145"/>
      <c r="O24" s="145"/>
      <c r="P24" s="94"/>
      <c r="Q24" s="95"/>
      <c r="R24" s="95"/>
      <c r="S24" s="176"/>
      <c r="T24" s="179">
        <v>5434</v>
      </c>
      <c r="U24" s="145"/>
      <c r="V24" s="146"/>
      <c r="W24" s="181">
        <v>2000</v>
      </c>
      <c r="X24" s="179"/>
      <c r="Y24" s="145"/>
      <c r="Z24" s="145"/>
      <c r="AA24" s="145">
        <v>3434</v>
      </c>
      <c r="AB24" s="93"/>
      <c r="AC24" s="95"/>
      <c r="AD24" s="95">
        <v>171.7</v>
      </c>
      <c r="AF24" s="69">
        <v>9</v>
      </c>
      <c r="AG24" s="182" t="str">
        <f t="shared" si="0"/>
        <v/>
      </c>
    </row>
    <row r="25" spans="3:34" ht="15">
      <c r="C25" s="142" t="s">
        <v>470</v>
      </c>
      <c r="D25" s="359" t="s">
        <v>473</v>
      </c>
      <c r="E25" s="73"/>
      <c r="F25" s="73"/>
      <c r="G25" s="145"/>
      <c r="H25" s="145"/>
      <c r="I25" s="145"/>
      <c r="J25" s="145"/>
      <c r="K25" s="145"/>
      <c r="L25" s="145"/>
      <c r="M25" s="145"/>
      <c r="N25" s="145"/>
      <c r="O25" s="145"/>
      <c r="P25" s="94"/>
      <c r="Q25" s="95"/>
      <c r="R25" s="95"/>
      <c r="S25" s="176"/>
      <c r="T25" s="179">
        <v>5000</v>
      </c>
      <c r="U25" s="145"/>
      <c r="V25" s="146"/>
      <c r="W25" s="181"/>
      <c r="X25" s="179"/>
      <c r="Y25" s="145"/>
      <c r="Z25" s="145"/>
      <c r="AA25" s="145">
        <v>5000</v>
      </c>
      <c r="AB25" s="93"/>
      <c r="AC25" s="95"/>
      <c r="AD25" s="95"/>
      <c r="AF25" s="69">
        <v>10</v>
      </c>
      <c r="AG25" s="182" t="str">
        <f t="shared" si="0"/>
        <v>填寫說明</v>
      </c>
    </row>
    <row r="26" spans="3:34" ht="15">
      <c r="C26" s="142" t="s">
        <v>367</v>
      </c>
      <c r="D26" s="359" t="s">
        <v>368</v>
      </c>
      <c r="E26" s="73"/>
      <c r="F26" s="73"/>
      <c r="G26" s="145">
        <v>5000</v>
      </c>
      <c r="H26" s="145"/>
      <c r="I26" s="145"/>
      <c r="J26" s="145"/>
      <c r="K26" s="145"/>
      <c r="L26" s="145"/>
      <c r="M26" s="145"/>
      <c r="N26" s="145"/>
      <c r="O26" s="145"/>
      <c r="P26" s="94"/>
      <c r="Q26" s="95"/>
      <c r="R26" s="95"/>
      <c r="S26" s="176"/>
      <c r="T26" s="179">
        <v>434</v>
      </c>
      <c r="U26" s="145"/>
      <c r="V26" s="146"/>
      <c r="W26" s="181">
        <v>2000</v>
      </c>
      <c r="X26" s="179"/>
      <c r="Y26" s="145"/>
      <c r="Z26" s="145"/>
      <c r="AA26" s="145">
        <v>-1566</v>
      </c>
      <c r="AB26" s="93"/>
      <c r="AC26" s="95"/>
      <c r="AD26" s="95">
        <v>-78.3</v>
      </c>
      <c r="AF26" s="69">
        <v>11</v>
      </c>
      <c r="AG26" s="182" t="str">
        <f t="shared" si="0"/>
        <v>填寫說明</v>
      </c>
    </row>
    <row r="27" spans="3:34" ht="15">
      <c r="C27" s="137" t="s">
        <v>166</v>
      </c>
      <c r="D27" s="359" t="s">
        <v>369</v>
      </c>
      <c r="E27" s="73"/>
      <c r="F27" s="73"/>
      <c r="G27" s="145">
        <v>137371000</v>
      </c>
      <c r="H27" s="145"/>
      <c r="I27" s="145"/>
      <c r="J27" s="145">
        <v>19961283</v>
      </c>
      <c r="K27" s="145"/>
      <c r="L27" s="145"/>
      <c r="M27" s="146">
        <v>9501000</v>
      </c>
      <c r="N27" s="145">
        <v>10460283</v>
      </c>
      <c r="O27" s="145"/>
      <c r="P27" s="94"/>
      <c r="Q27" s="95">
        <v>110.09665298389643</v>
      </c>
      <c r="R27" s="93"/>
      <c r="S27" s="93"/>
      <c r="T27" s="145">
        <v>116204190</v>
      </c>
      <c r="U27" s="145"/>
      <c r="V27" s="146"/>
      <c r="W27" s="145">
        <v>118292000</v>
      </c>
      <c r="X27" s="145"/>
      <c r="Y27" s="145"/>
      <c r="Z27" s="145"/>
      <c r="AA27" s="145">
        <v>-2087810</v>
      </c>
      <c r="AB27" s="93"/>
      <c r="AC27" s="95"/>
      <c r="AD27" s="95">
        <v>-1.7649629729821121</v>
      </c>
      <c r="AF27" s="69">
        <v>12</v>
      </c>
      <c r="AG27" s="182" t="str">
        <f t="shared" si="0"/>
        <v/>
      </c>
    </row>
    <row r="28" spans="3:34" ht="15">
      <c r="C28" s="141" t="s">
        <v>22</v>
      </c>
      <c r="D28" s="359" t="s">
        <v>370</v>
      </c>
      <c r="E28" s="137"/>
      <c r="F28" s="73"/>
      <c r="G28" s="145">
        <v>137171000</v>
      </c>
      <c r="H28" s="145"/>
      <c r="I28" s="145"/>
      <c r="J28" s="145">
        <v>19899459</v>
      </c>
      <c r="K28" s="145"/>
      <c r="L28" s="145"/>
      <c r="M28" s="146">
        <v>9501000</v>
      </c>
      <c r="N28" s="145">
        <v>10398459</v>
      </c>
      <c r="O28" s="145"/>
      <c r="P28" s="94"/>
      <c r="Q28" s="95">
        <v>109.44594253236501</v>
      </c>
      <c r="R28" s="93"/>
      <c r="S28" s="93"/>
      <c r="T28" s="145">
        <v>116075942</v>
      </c>
      <c r="U28" s="145"/>
      <c r="V28" s="146"/>
      <c r="W28" s="145">
        <v>118142000</v>
      </c>
      <c r="X28" s="145"/>
      <c r="Y28" s="145"/>
      <c r="Z28" s="145"/>
      <c r="AA28" s="145">
        <v>-2066058</v>
      </c>
      <c r="AB28" s="93"/>
      <c r="AC28" s="95"/>
      <c r="AD28" s="95">
        <v>-1.7487921315027677</v>
      </c>
      <c r="AF28" s="69">
        <v>13</v>
      </c>
      <c r="AG28" s="182" t="str">
        <f t="shared" si="0"/>
        <v/>
      </c>
    </row>
    <row r="29" spans="3:34" ht="15">
      <c r="C29" s="142" t="s">
        <v>424</v>
      </c>
      <c r="D29" s="359">
        <v>532</v>
      </c>
      <c r="E29" s="137"/>
      <c r="F29" s="73"/>
      <c r="G29" s="145">
        <v>137171000</v>
      </c>
      <c r="H29" s="145"/>
      <c r="I29" s="145"/>
      <c r="J29" s="145">
        <v>19899459</v>
      </c>
      <c r="K29" s="145"/>
      <c r="L29" s="145"/>
      <c r="M29" s="146">
        <v>9501000</v>
      </c>
      <c r="N29" s="145">
        <v>10398459</v>
      </c>
      <c r="O29" s="145"/>
      <c r="P29" s="94"/>
      <c r="Q29" s="95">
        <v>109.44594253236501</v>
      </c>
      <c r="R29" s="93"/>
      <c r="S29" s="93"/>
      <c r="T29" s="145">
        <v>116075942</v>
      </c>
      <c r="U29" s="145"/>
      <c r="V29" s="146"/>
      <c r="W29" s="145">
        <v>118142000</v>
      </c>
      <c r="X29" s="145"/>
      <c r="Y29" s="145"/>
      <c r="Z29" s="145"/>
      <c r="AA29" s="145">
        <v>-2066058</v>
      </c>
      <c r="AB29" s="93"/>
      <c r="AC29" s="95"/>
      <c r="AD29" s="95">
        <v>-1.7487921315027677</v>
      </c>
      <c r="AF29" s="69">
        <v>14</v>
      </c>
      <c r="AG29" s="182" t="str">
        <f t="shared" si="0"/>
        <v/>
      </c>
      <c r="AH29" s="182">
        <f t="shared" ref="AH29:AH31" si="1">IF(AA29&gt;0,"超支",0)</f>
        <v>0</v>
      </c>
    </row>
    <row r="30" spans="3:34" ht="15">
      <c r="C30" s="141" t="s">
        <v>23</v>
      </c>
      <c r="D30" s="359" t="s">
        <v>439</v>
      </c>
      <c r="E30" s="137"/>
      <c r="F30" s="73"/>
      <c r="G30" s="145">
        <v>200000</v>
      </c>
      <c r="H30" s="145"/>
      <c r="I30" s="145"/>
      <c r="J30" s="145">
        <v>61824</v>
      </c>
      <c r="K30" s="145"/>
      <c r="L30" s="145"/>
      <c r="M30" s="146"/>
      <c r="N30" s="145">
        <v>61824</v>
      </c>
      <c r="O30" s="145"/>
      <c r="P30" s="94"/>
      <c r="Q30" s="95"/>
      <c r="R30" s="93"/>
      <c r="S30" s="93"/>
      <c r="T30" s="145">
        <v>128248</v>
      </c>
      <c r="U30" s="145"/>
      <c r="V30" s="146"/>
      <c r="W30" s="145">
        <v>150000</v>
      </c>
      <c r="X30" s="145"/>
      <c r="Y30" s="145"/>
      <c r="Z30" s="145"/>
      <c r="AA30" s="145">
        <v>-21752</v>
      </c>
      <c r="AB30" s="93"/>
      <c r="AC30" s="95"/>
      <c r="AD30" s="95">
        <v>-14.501333333333335</v>
      </c>
      <c r="AF30" s="69">
        <v>15</v>
      </c>
      <c r="AG30" s="182" t="str">
        <f t="shared" si="0"/>
        <v/>
      </c>
      <c r="AH30" s="182"/>
    </row>
    <row r="31" spans="3:34" ht="15">
      <c r="C31" s="142" t="s">
        <v>440</v>
      </c>
      <c r="D31" s="359" t="s">
        <v>441</v>
      </c>
      <c r="E31" s="137"/>
      <c r="F31" s="73"/>
      <c r="G31" s="145">
        <v>200000</v>
      </c>
      <c r="H31" s="145"/>
      <c r="I31" s="145"/>
      <c r="J31" s="145">
        <v>61824</v>
      </c>
      <c r="K31" s="145"/>
      <c r="L31" s="145"/>
      <c r="M31" s="146"/>
      <c r="N31" s="145">
        <v>61824</v>
      </c>
      <c r="O31" s="145"/>
      <c r="P31" s="94"/>
      <c r="Q31" s="95"/>
      <c r="R31" s="93"/>
      <c r="S31" s="93"/>
      <c r="T31" s="145">
        <v>128248</v>
      </c>
      <c r="U31" s="145"/>
      <c r="V31" s="146"/>
      <c r="W31" s="145">
        <v>150000</v>
      </c>
      <c r="X31" s="145"/>
      <c r="Y31" s="145"/>
      <c r="Z31" s="145"/>
      <c r="AA31" s="145">
        <v>-21752</v>
      </c>
      <c r="AB31" s="93"/>
      <c r="AC31" s="95"/>
      <c r="AD31" s="95">
        <v>-14.501333333333335</v>
      </c>
      <c r="AF31" s="69">
        <v>17</v>
      </c>
      <c r="AG31" s="182" t="str">
        <f t="shared" si="0"/>
        <v/>
      </c>
      <c r="AH31" s="182">
        <f t="shared" si="1"/>
        <v>0</v>
      </c>
    </row>
    <row r="32" spans="3:34" ht="15">
      <c r="C32" s="137" t="s">
        <v>165</v>
      </c>
      <c r="D32" s="359" t="s">
        <v>371</v>
      </c>
      <c r="E32" s="73"/>
      <c r="F32" s="73"/>
      <c r="G32" s="145">
        <v>-2564000</v>
      </c>
      <c r="H32" s="145"/>
      <c r="I32" s="145"/>
      <c r="J32" s="145">
        <v>-10511312</v>
      </c>
      <c r="K32" s="146"/>
      <c r="L32" s="146"/>
      <c r="M32" s="146"/>
      <c r="N32" s="146">
        <v>-10511312</v>
      </c>
      <c r="O32" s="146"/>
      <c r="P32" s="93"/>
      <c r="Q32" s="95"/>
      <c r="R32" s="93"/>
      <c r="S32" s="93"/>
      <c r="T32" s="145">
        <v>-786754</v>
      </c>
      <c r="U32" s="145"/>
      <c r="V32" s="146"/>
      <c r="W32" s="145">
        <v>-2564000</v>
      </c>
      <c r="X32" s="145"/>
      <c r="Y32" s="145"/>
      <c r="Z32" s="145"/>
      <c r="AA32" s="145">
        <v>1777246</v>
      </c>
      <c r="AB32" s="93"/>
      <c r="AC32" s="95"/>
      <c r="AD32" s="95">
        <v>-69.315366614664583</v>
      </c>
      <c r="AF32" s="69">
        <v>18</v>
      </c>
      <c r="AG32" s="182" t="str">
        <f t="shared" si="0"/>
        <v/>
      </c>
      <c r="AH32" s="182">
        <f>IF(AA32&lt;0,"實際數超過累計預算數",0)</f>
        <v>0</v>
      </c>
    </row>
    <row r="33" spans="3:33" ht="15">
      <c r="C33" s="137" t="s">
        <v>24</v>
      </c>
      <c r="D33" s="359" t="s">
        <v>372</v>
      </c>
      <c r="E33" s="73"/>
      <c r="F33" s="73"/>
      <c r="G33" s="145">
        <v>6800034</v>
      </c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>
        <v>8616300</v>
      </c>
      <c r="U33" s="145"/>
      <c r="V33" s="146"/>
      <c r="W33" s="145">
        <v>6800034</v>
      </c>
      <c r="X33" s="145"/>
      <c r="Y33" s="145"/>
      <c r="Z33" s="145"/>
      <c r="AA33" s="145">
        <v>1816266</v>
      </c>
      <c r="AB33" s="93"/>
      <c r="AC33" s="95"/>
      <c r="AD33" s="95">
        <v>26.709660569344209</v>
      </c>
      <c r="AG33" s="182" t="str">
        <f t="shared" si="0"/>
        <v/>
      </c>
    </row>
    <row r="34" spans="3:33" ht="15">
      <c r="C34" s="72" t="s">
        <v>25</v>
      </c>
      <c r="D34" s="359">
        <v>72</v>
      </c>
      <c r="E34" s="73"/>
      <c r="F34" s="73"/>
      <c r="G34" s="145"/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/>
      <c r="U34" s="145"/>
      <c r="V34" s="146"/>
      <c r="W34" s="145"/>
      <c r="X34" s="145"/>
      <c r="Y34" s="145"/>
      <c r="Z34" s="145"/>
      <c r="AA34" s="145"/>
      <c r="AB34" s="93"/>
      <c r="AC34" s="95"/>
      <c r="AD34" s="95"/>
      <c r="AG34" s="182" t="str">
        <f t="shared" si="0"/>
        <v/>
      </c>
    </row>
    <row r="35" spans="3:33" ht="15">
      <c r="C35" s="72" t="s">
        <v>26</v>
      </c>
      <c r="D35" s="359" t="s">
        <v>373</v>
      </c>
      <c r="E35" s="73"/>
      <c r="F35" s="73"/>
      <c r="G35" s="145">
        <v>4236034</v>
      </c>
      <c r="H35" s="145"/>
      <c r="I35" s="145"/>
      <c r="J35" s="145"/>
      <c r="K35" s="146"/>
      <c r="L35" s="146"/>
      <c r="M35" s="146"/>
      <c r="N35" s="146"/>
      <c r="O35" s="146"/>
      <c r="P35" s="93"/>
      <c r="Q35" s="95"/>
      <c r="R35" s="93"/>
      <c r="S35" s="93"/>
      <c r="T35" s="145">
        <v>7829546</v>
      </c>
      <c r="U35" s="145"/>
      <c r="V35" s="146"/>
      <c r="W35" s="145">
        <v>4236034</v>
      </c>
      <c r="X35" s="145"/>
      <c r="Y35" s="145"/>
      <c r="Z35" s="145"/>
      <c r="AA35" s="145">
        <v>3593512</v>
      </c>
      <c r="AB35" s="93"/>
      <c r="AC35" s="95"/>
      <c r="AD35" s="95">
        <v>84.831991433496526</v>
      </c>
      <c r="AG35" s="182" t="str">
        <f t="shared" si="0"/>
        <v/>
      </c>
    </row>
    <row r="36" spans="3:33" ht="15" hidden="1" customHeight="1">
      <c r="C36" s="72"/>
      <c r="D36" s="360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60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60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60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60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60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60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60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60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60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 hidden="1" customHeight="1">
      <c r="C46" s="72"/>
      <c r="D46" s="360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72"/>
      <c r="D47" s="360"/>
      <c r="E47" s="73"/>
      <c r="F47" s="73"/>
      <c r="G47" s="146"/>
      <c r="H47" s="146"/>
      <c r="I47" s="146"/>
      <c r="J47" s="146"/>
      <c r="K47" s="146"/>
      <c r="L47" s="146"/>
      <c r="M47" s="146"/>
      <c r="N47" s="146"/>
      <c r="O47" s="146"/>
      <c r="P47" s="93"/>
      <c r="Q47" s="93"/>
      <c r="R47" s="93"/>
      <c r="S47" s="93"/>
      <c r="T47" s="146"/>
      <c r="U47" s="146"/>
      <c r="V47" s="146"/>
      <c r="W47" s="146"/>
      <c r="X47" s="146"/>
      <c r="Y47" s="146"/>
      <c r="Z47" s="146"/>
      <c r="AA47" s="146"/>
      <c r="AB47" s="93"/>
      <c r="AC47" s="93"/>
      <c r="AD47" s="93"/>
      <c r="AG47" s="182" t="str">
        <f t="shared" si="0"/>
        <v/>
      </c>
    </row>
    <row r="48" spans="3:33" ht="15">
      <c r="C48" s="139"/>
      <c r="D48" s="361"/>
      <c r="E48" s="140"/>
      <c r="F48" s="140"/>
      <c r="G48" s="147"/>
      <c r="H48" s="147"/>
      <c r="I48" s="147"/>
      <c r="J48" s="147"/>
      <c r="K48" s="147"/>
      <c r="L48" s="147"/>
      <c r="M48" s="147"/>
      <c r="N48" s="147"/>
      <c r="O48" s="147"/>
      <c r="P48" s="96"/>
      <c r="Q48" s="96"/>
      <c r="R48" s="96"/>
      <c r="S48" s="96"/>
      <c r="T48" s="147"/>
      <c r="U48" s="147"/>
      <c r="V48" s="147"/>
      <c r="W48" s="147"/>
      <c r="X48" s="147"/>
      <c r="Y48" s="147"/>
      <c r="Z48" s="147"/>
      <c r="AA48" s="147"/>
      <c r="AB48" s="96"/>
      <c r="AC48" s="96"/>
      <c r="AD48" s="96"/>
      <c r="AG48" s="182" t="str">
        <f t="shared" si="0"/>
        <v/>
      </c>
    </row>
    <row r="49" spans="2:33" ht="7.5" customHeight="1">
      <c r="AG49" s="69"/>
    </row>
    <row r="50" spans="2:33" ht="12" customHeight="1">
      <c r="B50" s="138"/>
      <c r="AG50" s="69"/>
    </row>
    <row r="51" spans="2:33" ht="43.5" customHeight="1">
      <c r="T51" s="69" t="e">
        <f>VLOOKUP("銀行存款-縣庫存款",平衡!$E$13:$H$81,4,0)+VLOOKUP("零用及週轉金",平衡!$D$13:$H$81,5,0)+VLOOKUP("預付費用",平衡!$D$13:$H$81,5,0)</f>
        <v>#N/A</v>
      </c>
      <c r="AG51" s="69"/>
    </row>
  </sheetData>
  <sortState xmlns:xlrd2="http://schemas.microsoft.com/office/spreadsheetml/2017/richdata2" ref="A16:AM52">
    <sortCondition ref="AF16:AF52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5">
    <cfRule type="cellIs" dxfId="13" priority="1" operator="notEqual">
      <formula>$T$51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92"/>
  <sheetViews>
    <sheetView showGridLines="0" showZeros="0" showOutlineSymbols="0" view="pageBreakPreview" topLeftCell="A2" zoomScaleSheetLayoutView="100" workbookViewId="0">
      <selection activeCell="A26" sqref="A26:XFD26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700" t="str">
        <f>封面!$A$4</f>
        <v>彰化縣地方教育發展基金－彰化縣彰化市民生國民小學</v>
      </c>
      <c r="B2" s="700"/>
      <c r="C2" s="700"/>
      <c r="D2" s="700"/>
      <c r="E2" s="700"/>
      <c r="F2" s="700"/>
      <c r="G2" s="700"/>
      <c r="H2" s="700"/>
      <c r="I2" s="700"/>
      <c r="J2" s="700"/>
      <c r="K2" s="700"/>
      <c r="L2" s="700"/>
      <c r="M2" s="700"/>
      <c r="N2" s="700"/>
      <c r="O2" s="700"/>
      <c r="P2" s="700"/>
      <c r="Q2" s="700"/>
      <c r="R2" s="700"/>
      <c r="S2" s="700"/>
      <c r="T2" s="700"/>
      <c r="U2" s="700"/>
    </row>
    <row r="3" spans="1:21" ht="21">
      <c r="A3" s="702" t="s">
        <v>0</v>
      </c>
      <c r="B3" s="702"/>
      <c r="C3" s="702"/>
      <c r="D3" s="702"/>
      <c r="E3" s="702"/>
      <c r="F3" s="702"/>
      <c r="G3" s="702"/>
      <c r="H3" s="702"/>
      <c r="I3" s="702"/>
      <c r="J3" s="702"/>
      <c r="K3" s="702"/>
      <c r="L3" s="702"/>
      <c r="M3" s="702"/>
      <c r="N3" s="702"/>
      <c r="O3" s="702"/>
      <c r="P3" s="702"/>
      <c r="Q3" s="702"/>
      <c r="R3" s="702"/>
      <c r="S3" s="702"/>
      <c r="T3" s="702"/>
      <c r="U3" s="702"/>
    </row>
    <row r="4" spans="1:21" ht="19.5">
      <c r="A4" s="703" t="str">
        <f>封面!$E$10&amp;封面!$H$10&amp;封面!$I$10&amp;封面!$J$10&amp;封面!$K$10&amp;封面!$O$10&amp;"日"</f>
        <v>中華民國114年9月30日</v>
      </c>
      <c r="B4" s="703"/>
      <c r="C4" s="703"/>
      <c r="D4" s="703"/>
      <c r="E4" s="703"/>
      <c r="F4" s="703"/>
      <c r="G4" s="703"/>
      <c r="H4" s="703"/>
      <c r="I4" s="703"/>
      <c r="J4" s="703"/>
      <c r="K4" s="703"/>
      <c r="L4" s="703"/>
      <c r="M4" s="703"/>
      <c r="N4" s="703"/>
      <c r="O4" s="703"/>
      <c r="P4" s="703"/>
      <c r="Q4" s="703"/>
      <c r="R4" s="703"/>
      <c r="S4" s="703"/>
      <c r="T4" s="703"/>
      <c r="U4" s="703"/>
    </row>
    <row r="5" spans="1:21" ht="2.25" customHeight="1"/>
    <row r="6" spans="1:21" ht="15.75" customHeight="1">
      <c r="A6" s="701" t="s">
        <v>1</v>
      </c>
      <c r="B6" s="701"/>
      <c r="C6" s="701"/>
      <c r="D6" s="701"/>
      <c r="E6" s="701"/>
      <c r="F6" s="701"/>
      <c r="G6" s="701"/>
      <c r="H6" s="701"/>
      <c r="I6" s="701"/>
      <c r="J6" s="701"/>
      <c r="K6" s="701"/>
      <c r="L6" s="701"/>
      <c r="M6" s="701"/>
      <c r="N6" s="701"/>
      <c r="O6" s="701"/>
      <c r="P6" s="701"/>
      <c r="Q6" s="701"/>
      <c r="R6" s="701"/>
      <c r="S6" s="701"/>
      <c r="T6" s="701"/>
      <c r="U6" s="701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97" t="s">
        <v>2</v>
      </c>
      <c r="B8" s="697"/>
      <c r="C8" s="697"/>
      <c r="D8" s="697"/>
      <c r="E8" s="697"/>
      <c r="F8" s="697"/>
      <c r="G8" s="289"/>
      <c r="H8" s="1"/>
      <c r="I8" s="1"/>
      <c r="J8" s="365"/>
      <c r="K8" s="704" t="s">
        <v>3</v>
      </c>
      <c r="L8" s="704"/>
      <c r="M8" s="704"/>
      <c r="N8" s="704"/>
      <c r="O8" s="704"/>
      <c r="P8" s="704"/>
      <c r="Q8" s="705"/>
      <c r="R8" s="289"/>
      <c r="S8" s="289"/>
      <c r="T8" s="289"/>
      <c r="U8" s="1"/>
    </row>
    <row r="9" spans="1:21" ht="18" customHeight="1">
      <c r="A9" s="697"/>
      <c r="B9" s="697"/>
      <c r="C9" s="697"/>
      <c r="D9" s="697"/>
      <c r="E9" s="697"/>
      <c r="F9" s="697"/>
      <c r="G9" s="289"/>
      <c r="H9" s="697" t="s">
        <v>4</v>
      </c>
      <c r="I9" s="697" t="s">
        <v>5</v>
      </c>
      <c r="J9" s="365"/>
      <c r="K9" s="704"/>
      <c r="L9" s="704"/>
      <c r="M9" s="704"/>
      <c r="N9" s="704"/>
      <c r="O9" s="704"/>
      <c r="P9" s="704"/>
      <c r="Q9" s="705"/>
      <c r="R9" s="289"/>
      <c r="S9" s="289"/>
      <c r="T9" s="694" t="s">
        <v>4</v>
      </c>
      <c r="U9" s="697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97"/>
      <c r="I10" s="697"/>
      <c r="J10" s="1"/>
      <c r="K10" s="1"/>
      <c r="L10" s="1"/>
      <c r="M10" s="1"/>
      <c r="N10" s="1"/>
      <c r="O10" s="1"/>
      <c r="P10" s="1"/>
      <c r="Q10" s="1"/>
      <c r="R10" s="1"/>
      <c r="S10" s="1"/>
      <c r="T10" s="695"/>
      <c r="U10" s="697"/>
    </row>
    <row r="11" spans="1:21" ht="18" customHeight="1">
      <c r="A11" s="697" t="s">
        <v>6</v>
      </c>
      <c r="B11" s="697"/>
      <c r="C11" s="697"/>
      <c r="D11" s="697"/>
      <c r="E11" s="697"/>
      <c r="F11" s="697" t="s">
        <v>7</v>
      </c>
      <c r="G11" s="289"/>
      <c r="H11" s="697"/>
      <c r="I11" s="697"/>
      <c r="J11" s="365"/>
      <c r="K11" s="704" t="s">
        <v>6</v>
      </c>
      <c r="L11" s="704"/>
      <c r="M11" s="704"/>
      <c r="N11" s="704"/>
      <c r="O11" s="705"/>
      <c r="P11" s="289"/>
      <c r="Q11" s="697" t="s">
        <v>7</v>
      </c>
      <c r="R11" s="289"/>
      <c r="S11" s="289"/>
      <c r="T11" s="696"/>
      <c r="U11" s="697"/>
    </row>
    <row r="12" spans="1:21" ht="14.25" hidden="1">
      <c r="A12" s="697"/>
      <c r="B12" s="697"/>
      <c r="C12" s="697"/>
      <c r="D12" s="697"/>
      <c r="E12" s="697"/>
      <c r="F12" s="697"/>
      <c r="G12" s="289"/>
      <c r="H12" s="1"/>
      <c r="I12" s="1"/>
      <c r="J12" s="365"/>
      <c r="K12" s="704"/>
      <c r="L12" s="704"/>
      <c r="M12" s="704"/>
      <c r="N12" s="704"/>
      <c r="O12" s="705"/>
      <c r="P12" s="289"/>
      <c r="Q12" s="697"/>
      <c r="R12" s="289"/>
      <c r="S12" s="289"/>
      <c r="T12" s="289"/>
      <c r="U12" s="1"/>
    </row>
    <row r="13" spans="1:21" ht="14.25">
      <c r="A13" s="101" t="s">
        <v>492</v>
      </c>
      <c r="B13" s="102"/>
      <c r="C13" s="339"/>
      <c r="D13" s="339"/>
      <c r="E13" s="340"/>
      <c r="F13" s="104" t="s">
        <v>493</v>
      </c>
      <c r="G13" s="104"/>
      <c r="H13" s="105">
        <v>348860920</v>
      </c>
      <c r="I13" s="285">
        <v>100</v>
      </c>
      <c r="J13" s="366"/>
      <c r="K13" s="102" t="s">
        <v>545</v>
      </c>
      <c r="L13" s="102"/>
      <c r="M13" s="102"/>
      <c r="N13" s="102"/>
      <c r="O13" s="103"/>
      <c r="P13" s="103"/>
      <c r="Q13" s="106" t="s">
        <v>546</v>
      </c>
      <c r="R13" s="104"/>
      <c r="S13" s="104"/>
      <c r="T13" s="488">
        <v>13865038</v>
      </c>
      <c r="U13" s="394">
        <v>3.9743740858104712</v>
      </c>
    </row>
    <row r="14" spans="1:21" ht="14.25">
      <c r="A14" s="297"/>
      <c r="B14" s="108" t="s">
        <v>494</v>
      </c>
      <c r="C14" s="324"/>
      <c r="D14" s="324"/>
      <c r="E14" s="325"/>
      <c r="F14" s="114" t="s">
        <v>495</v>
      </c>
      <c r="G14" s="114"/>
      <c r="H14" s="111">
        <v>19494572</v>
      </c>
      <c r="I14" s="286">
        <v>5.5880641488877574</v>
      </c>
      <c r="J14" s="107"/>
      <c r="K14" s="108"/>
      <c r="L14" s="108" t="s">
        <v>547</v>
      </c>
      <c r="M14" s="108"/>
      <c r="N14" s="108"/>
      <c r="O14" s="109"/>
      <c r="P14" s="109"/>
      <c r="Q14" s="112" t="s">
        <v>548</v>
      </c>
      <c r="R14" s="114"/>
      <c r="S14" s="114"/>
      <c r="T14" s="432">
        <v>10895825</v>
      </c>
      <c r="U14" s="395">
        <v>3.1232575434359342</v>
      </c>
    </row>
    <row r="15" spans="1:21" ht="14.25">
      <c r="A15" s="297"/>
      <c r="B15" s="108"/>
      <c r="C15" s="324" t="s">
        <v>496</v>
      </c>
      <c r="D15" s="324"/>
      <c r="E15" s="325"/>
      <c r="F15" s="114" t="s">
        <v>497</v>
      </c>
      <c r="G15" s="114"/>
      <c r="H15" s="111">
        <v>18493697</v>
      </c>
      <c r="I15" s="286">
        <v>5.3011661495360389</v>
      </c>
      <c r="J15" s="107"/>
      <c r="K15" s="108"/>
      <c r="L15" s="108"/>
      <c r="M15" s="108" t="s">
        <v>549</v>
      </c>
      <c r="N15" s="108"/>
      <c r="O15" s="109"/>
      <c r="P15" s="109"/>
      <c r="Q15" s="112" t="s">
        <v>550</v>
      </c>
      <c r="R15" s="114"/>
      <c r="S15" s="114"/>
      <c r="T15" s="432">
        <v>10895825</v>
      </c>
      <c r="U15" s="395">
        <v>3.1232575434359342</v>
      </c>
    </row>
    <row r="16" spans="1:21" ht="14.25">
      <c r="A16" s="297"/>
      <c r="B16" s="108"/>
      <c r="C16" s="324"/>
      <c r="D16" s="324" t="s">
        <v>498</v>
      </c>
      <c r="E16" s="325"/>
      <c r="F16" s="114" t="s">
        <v>499</v>
      </c>
      <c r="G16" s="114"/>
      <c r="H16" s="111">
        <v>18433697</v>
      </c>
      <c r="I16" s="286">
        <v>5.2839673185520466</v>
      </c>
      <c r="J16" s="107"/>
      <c r="K16" s="108"/>
      <c r="L16" s="108"/>
      <c r="M16" s="108"/>
      <c r="N16" s="108" t="s">
        <v>551</v>
      </c>
      <c r="O16" s="109"/>
      <c r="P16" s="109"/>
      <c r="Q16" s="112" t="s">
        <v>552</v>
      </c>
      <c r="R16" s="114"/>
      <c r="S16" s="114"/>
      <c r="T16" s="432">
        <v>10895825</v>
      </c>
      <c r="U16" s="395">
        <v>3.1232575434359342</v>
      </c>
    </row>
    <row r="17" spans="1:21" ht="14.25">
      <c r="A17" s="297"/>
      <c r="B17" s="108"/>
      <c r="C17" s="324"/>
      <c r="D17" s="324"/>
      <c r="E17" s="325" t="s">
        <v>500</v>
      </c>
      <c r="F17" s="114" t="s">
        <v>501</v>
      </c>
      <c r="G17" s="114"/>
      <c r="H17" s="111">
        <v>7769546</v>
      </c>
      <c r="I17" s="286">
        <v>2.2271184746058688</v>
      </c>
      <c r="J17" s="107"/>
      <c r="K17" s="108"/>
      <c r="L17" s="108"/>
      <c r="M17" s="108"/>
      <c r="N17" s="108" t="s">
        <v>553</v>
      </c>
      <c r="O17" s="109"/>
      <c r="P17" s="109"/>
      <c r="Q17" s="112" t="s">
        <v>554</v>
      </c>
      <c r="R17" s="114"/>
      <c r="S17" s="114"/>
      <c r="T17" s="432">
        <v>0</v>
      </c>
      <c r="U17" s="395">
        <v>0</v>
      </c>
    </row>
    <row r="18" spans="1:21" ht="14.25">
      <c r="A18" s="297"/>
      <c r="B18" s="108"/>
      <c r="C18" s="324"/>
      <c r="D18" s="324"/>
      <c r="E18" s="325" t="s">
        <v>502</v>
      </c>
      <c r="F18" s="114" t="s">
        <v>503</v>
      </c>
      <c r="G18" s="114"/>
      <c r="H18" s="111">
        <v>10664151</v>
      </c>
      <c r="I18" s="286">
        <v>3.0568488439461783</v>
      </c>
      <c r="J18" s="107"/>
      <c r="K18" s="108"/>
      <c r="L18" s="108" t="s">
        <v>555</v>
      </c>
      <c r="M18" s="108"/>
      <c r="N18" s="108"/>
      <c r="O18" s="109"/>
      <c r="P18" s="109"/>
      <c r="Q18" s="112" t="s">
        <v>556</v>
      </c>
      <c r="R18" s="114"/>
      <c r="S18" s="114"/>
      <c r="T18" s="432">
        <v>2969213</v>
      </c>
      <c r="U18" s="395">
        <v>0.85111654237453704</v>
      </c>
    </row>
    <row r="19" spans="1:21" ht="14.25">
      <c r="A19" s="297"/>
      <c r="B19" s="108"/>
      <c r="C19" s="324"/>
      <c r="D19" s="324" t="s">
        <v>504</v>
      </c>
      <c r="E19" s="325"/>
      <c r="F19" s="114" t="s">
        <v>505</v>
      </c>
      <c r="G19" s="114"/>
      <c r="H19" s="111">
        <v>60000</v>
      </c>
      <c r="I19" s="286">
        <v>1.7198830983992129E-2</v>
      </c>
      <c r="J19" s="107"/>
      <c r="K19" s="108"/>
      <c r="L19" s="108"/>
      <c r="M19" s="108" t="s">
        <v>557</v>
      </c>
      <c r="N19" s="108"/>
      <c r="O19" s="109"/>
      <c r="P19" s="109"/>
      <c r="Q19" s="112" t="s">
        <v>558</v>
      </c>
      <c r="R19" s="114"/>
      <c r="S19" s="114"/>
      <c r="T19" s="432">
        <v>2969213</v>
      </c>
      <c r="U19" s="395">
        <v>0.85111654237453704</v>
      </c>
    </row>
    <row r="20" spans="1:21" ht="14.25">
      <c r="A20" s="297"/>
      <c r="B20" s="108"/>
      <c r="C20" s="324" t="s">
        <v>506</v>
      </c>
      <c r="D20" s="324"/>
      <c r="E20" s="325"/>
      <c r="F20" s="114" t="s">
        <v>507</v>
      </c>
      <c r="G20" s="114"/>
      <c r="H20" s="111">
        <v>1000875</v>
      </c>
      <c r="I20" s="286">
        <v>0.28689799935171872</v>
      </c>
      <c r="J20" s="107"/>
      <c r="K20" s="108"/>
      <c r="L20" s="108"/>
      <c r="M20" s="108"/>
      <c r="N20" s="108" t="s">
        <v>559</v>
      </c>
      <c r="O20" s="109"/>
      <c r="P20" s="109"/>
      <c r="Q20" s="112" t="s">
        <v>560</v>
      </c>
      <c r="R20" s="114"/>
      <c r="S20" s="114"/>
      <c r="T20" s="432">
        <v>769201</v>
      </c>
      <c r="U20" s="395">
        <v>0.2204892998619622</v>
      </c>
    </row>
    <row r="21" spans="1:21" ht="14.25">
      <c r="A21" s="297"/>
      <c r="B21" s="108"/>
      <c r="C21" s="324"/>
      <c r="D21" s="324" t="s">
        <v>508</v>
      </c>
      <c r="E21" s="325"/>
      <c r="F21" s="114" t="s">
        <v>509</v>
      </c>
      <c r="G21" s="114"/>
      <c r="H21" s="111">
        <v>1000875</v>
      </c>
      <c r="I21" s="286">
        <v>0.28689799935171872</v>
      </c>
      <c r="J21" s="107"/>
      <c r="K21" s="108"/>
      <c r="L21" s="108"/>
      <c r="M21" s="108"/>
      <c r="N21" s="108" t="s">
        <v>561</v>
      </c>
      <c r="O21" s="109"/>
      <c r="P21" s="109"/>
      <c r="Q21" s="112" t="s">
        <v>562</v>
      </c>
      <c r="R21" s="114"/>
      <c r="S21" s="114"/>
      <c r="T21" s="432">
        <v>2200012</v>
      </c>
      <c r="U21" s="395">
        <v>0.63062724251257496</v>
      </c>
    </row>
    <row r="22" spans="1:21" ht="14.25">
      <c r="A22" s="297"/>
      <c r="B22" s="108" t="s">
        <v>510</v>
      </c>
      <c r="C22" s="324"/>
      <c r="D22" s="324"/>
      <c r="E22" s="325"/>
      <c r="F22" s="114" t="s">
        <v>511</v>
      </c>
      <c r="G22" s="114"/>
      <c r="H22" s="111">
        <v>2200012</v>
      </c>
      <c r="I22" s="286">
        <v>0.63062724251257496</v>
      </c>
      <c r="J22" s="107"/>
      <c r="K22" s="108" t="s">
        <v>563</v>
      </c>
      <c r="L22" s="108"/>
      <c r="M22" s="108"/>
      <c r="N22" s="108"/>
      <c r="O22" s="109"/>
      <c r="P22" s="109"/>
      <c r="Q22" s="112" t="s">
        <v>564</v>
      </c>
      <c r="R22" s="114"/>
      <c r="S22" s="114"/>
      <c r="T22" s="432">
        <v>334995882</v>
      </c>
      <c r="U22" s="395">
        <v>96.025625914189533</v>
      </c>
    </row>
    <row r="23" spans="1:21" ht="14.25" hidden="1">
      <c r="A23" s="297"/>
      <c r="B23" s="108"/>
      <c r="C23" s="324"/>
      <c r="D23" s="324"/>
      <c r="E23" s="325"/>
      <c r="F23" s="114"/>
      <c r="G23" s="114"/>
      <c r="H23" s="111"/>
      <c r="I23" s="286"/>
      <c r="J23" s="107"/>
      <c r="K23" s="108"/>
      <c r="L23" s="108"/>
      <c r="M23" s="108"/>
      <c r="N23" s="108"/>
      <c r="O23" s="109"/>
      <c r="P23" s="109"/>
      <c r="Q23" s="112"/>
      <c r="R23" s="114"/>
      <c r="S23" s="114"/>
      <c r="T23" s="432"/>
      <c r="U23" s="395"/>
    </row>
    <row r="24" spans="1:21" ht="14.25">
      <c r="A24" s="297"/>
      <c r="B24" s="108"/>
      <c r="C24" s="324" t="s">
        <v>512</v>
      </c>
      <c r="D24" s="324"/>
      <c r="E24" s="325"/>
      <c r="F24" s="114" t="s">
        <v>513</v>
      </c>
      <c r="G24" s="114"/>
      <c r="H24" s="111">
        <v>2200012</v>
      </c>
      <c r="I24" s="286">
        <v>0.63062724251257496</v>
      </c>
      <c r="J24" s="107"/>
      <c r="K24" s="108"/>
      <c r="L24" s="108" t="s">
        <v>563</v>
      </c>
      <c r="M24" s="108"/>
      <c r="N24" s="108"/>
      <c r="O24" s="109"/>
      <c r="P24" s="109"/>
      <c r="Q24" s="112" t="s">
        <v>565</v>
      </c>
      <c r="R24" s="114"/>
      <c r="S24" s="114"/>
      <c r="T24" s="432">
        <v>334995882</v>
      </c>
      <c r="U24" s="395">
        <v>96.025625914189533</v>
      </c>
    </row>
    <row r="25" spans="1:21" ht="14.25" hidden="1">
      <c r="A25" s="297"/>
      <c r="B25" s="108"/>
      <c r="C25" s="324"/>
      <c r="D25" s="324"/>
      <c r="E25" s="325"/>
      <c r="F25" s="114"/>
      <c r="G25" s="114"/>
      <c r="H25" s="111"/>
      <c r="I25" s="286"/>
      <c r="J25" s="107"/>
      <c r="K25" s="108"/>
      <c r="L25" s="108"/>
      <c r="M25" s="108"/>
      <c r="N25" s="108"/>
      <c r="O25" s="109"/>
      <c r="P25" s="109"/>
      <c r="Q25" s="112"/>
      <c r="R25" s="114"/>
      <c r="S25" s="114"/>
      <c r="T25" s="432"/>
      <c r="U25" s="395"/>
    </row>
    <row r="26" spans="1:21" ht="14.25">
      <c r="A26" s="297"/>
      <c r="B26" s="108"/>
      <c r="C26" s="324"/>
      <c r="D26" s="324" t="s">
        <v>477</v>
      </c>
      <c r="E26" s="325"/>
      <c r="F26" s="114" t="s">
        <v>514</v>
      </c>
      <c r="G26" s="114"/>
      <c r="H26" s="111">
        <v>2200012</v>
      </c>
      <c r="I26" s="286">
        <v>0.63062724251257496</v>
      </c>
      <c r="J26" s="107"/>
      <c r="K26" s="108"/>
      <c r="L26" s="108"/>
      <c r="M26" s="108" t="s">
        <v>563</v>
      </c>
      <c r="N26" s="108"/>
      <c r="O26" s="109"/>
      <c r="P26" s="109"/>
      <c r="Q26" s="112" t="s">
        <v>566</v>
      </c>
      <c r="R26" s="114"/>
      <c r="S26" s="114"/>
      <c r="T26" s="432">
        <v>334995882</v>
      </c>
      <c r="U26" s="395">
        <v>96.025625914189533</v>
      </c>
    </row>
    <row r="27" spans="1:21" ht="14.25">
      <c r="A27" s="297"/>
      <c r="B27" s="108" t="s">
        <v>515</v>
      </c>
      <c r="C27" s="324"/>
      <c r="D27" s="324"/>
      <c r="E27" s="325"/>
      <c r="F27" s="114" t="s">
        <v>516</v>
      </c>
      <c r="G27" s="114"/>
      <c r="H27" s="111">
        <v>326581808</v>
      </c>
      <c r="I27" s="286">
        <v>93.613755303976134</v>
      </c>
      <c r="J27" s="107"/>
      <c r="K27" s="108"/>
      <c r="L27" s="108"/>
      <c r="M27" s="108"/>
      <c r="N27" s="108" t="s">
        <v>567</v>
      </c>
      <c r="O27" s="109"/>
      <c r="P27" s="109"/>
      <c r="Q27" s="112" t="s">
        <v>568</v>
      </c>
      <c r="R27" s="114"/>
      <c r="S27" s="114"/>
      <c r="T27" s="432">
        <v>343110363</v>
      </c>
      <c r="U27" s="395">
        <v>98.351619034886468</v>
      </c>
    </row>
    <row r="28" spans="1:21" ht="14.25" hidden="1">
      <c r="A28" s="297"/>
      <c r="B28" s="108"/>
      <c r="C28" s="324"/>
      <c r="D28" s="324"/>
      <c r="E28" s="325"/>
      <c r="F28" s="114"/>
      <c r="G28" s="114"/>
      <c r="H28" s="111"/>
      <c r="I28" s="286"/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2"/>
      <c r="U28" s="395"/>
    </row>
    <row r="29" spans="1:21" ht="14.25">
      <c r="A29" s="297"/>
      <c r="B29" s="108"/>
      <c r="C29" s="324" t="s">
        <v>44</v>
      </c>
      <c r="D29" s="324"/>
      <c r="E29" s="325"/>
      <c r="F29" s="114" t="s">
        <v>517</v>
      </c>
      <c r="G29" s="114"/>
      <c r="H29" s="111">
        <v>169277745</v>
      </c>
      <c r="I29" s="286">
        <v>48.522988760105306</v>
      </c>
      <c r="J29" s="107"/>
      <c r="K29" s="108"/>
      <c r="L29" s="108"/>
      <c r="M29" s="108"/>
      <c r="N29" s="108" t="s">
        <v>569</v>
      </c>
      <c r="O29" s="109"/>
      <c r="P29" s="109"/>
      <c r="Q29" s="112" t="s">
        <v>570</v>
      </c>
      <c r="R29" s="114"/>
      <c r="S29" s="114"/>
      <c r="T29" s="432">
        <v>-8114481</v>
      </c>
      <c r="U29" s="395">
        <v>-2.325993120696924</v>
      </c>
    </row>
    <row r="30" spans="1:21" ht="14.25">
      <c r="A30" s="297"/>
      <c r="B30" s="108"/>
      <c r="C30" s="324"/>
      <c r="D30" s="324" t="s">
        <v>44</v>
      </c>
      <c r="E30" s="325"/>
      <c r="F30" s="114" t="s">
        <v>518</v>
      </c>
      <c r="G30" s="114"/>
      <c r="H30" s="111">
        <v>169277745</v>
      </c>
      <c r="I30" s="286">
        <v>48.522988760105306</v>
      </c>
      <c r="J30" s="107"/>
      <c r="K30" s="108"/>
      <c r="L30" s="108"/>
      <c r="M30" s="108"/>
      <c r="N30" s="108" t="s">
        <v>571</v>
      </c>
      <c r="O30" s="109"/>
      <c r="P30" s="109"/>
      <c r="Q30" s="112" t="s">
        <v>572</v>
      </c>
      <c r="R30" s="114"/>
      <c r="S30" s="114"/>
      <c r="T30" s="432"/>
      <c r="U30" s="395"/>
    </row>
    <row r="31" spans="1:21" ht="14.25">
      <c r="A31" s="297"/>
      <c r="B31" s="108"/>
      <c r="C31" s="324" t="s">
        <v>45</v>
      </c>
      <c r="D31" s="324"/>
      <c r="E31" s="325"/>
      <c r="F31" s="114" t="s">
        <v>519</v>
      </c>
      <c r="G31" s="114"/>
      <c r="H31" s="111">
        <v>12976012</v>
      </c>
      <c r="I31" s="286">
        <v>3.7195372872375612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2"/>
      <c r="U31" s="395"/>
    </row>
    <row r="32" spans="1:21" ht="14.25" hidden="1">
      <c r="A32" s="297"/>
      <c r="B32" s="108"/>
      <c r="C32" s="324"/>
      <c r="D32" s="324"/>
      <c r="E32" s="325"/>
      <c r="F32" s="114"/>
      <c r="G32" s="114"/>
      <c r="H32" s="111"/>
      <c r="I32" s="286"/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2"/>
      <c r="U32" s="395"/>
    </row>
    <row r="33" spans="1:21" ht="14.25">
      <c r="A33" s="297"/>
      <c r="B33" s="108"/>
      <c r="C33" s="108"/>
      <c r="D33" s="108" t="s">
        <v>45</v>
      </c>
      <c r="E33" s="109"/>
      <c r="F33" s="114" t="s">
        <v>520</v>
      </c>
      <c r="G33" s="114"/>
      <c r="H33" s="111">
        <v>27169487</v>
      </c>
      <c r="I33" s="286">
        <v>7.7880569139128566</v>
      </c>
      <c r="J33" s="107"/>
      <c r="K33" s="108" t="s">
        <v>544</v>
      </c>
      <c r="L33" s="108"/>
      <c r="M33" s="108"/>
      <c r="N33" s="108"/>
      <c r="O33" s="109"/>
      <c r="P33" s="109"/>
      <c r="Q33" s="112"/>
      <c r="R33" s="114"/>
      <c r="S33" s="114"/>
      <c r="T33" s="432">
        <v>348860920</v>
      </c>
      <c r="U33" s="395"/>
    </row>
    <row r="34" spans="1:21" ht="14.25">
      <c r="A34" s="297"/>
      <c r="B34" s="108"/>
      <c r="C34" s="108"/>
      <c r="D34" s="108" t="s">
        <v>521</v>
      </c>
      <c r="E34" s="109"/>
      <c r="F34" s="114" t="s">
        <v>522</v>
      </c>
      <c r="G34" s="114"/>
      <c r="H34" s="111">
        <v>-14193475</v>
      </c>
      <c r="I34" s="286">
        <v>-4.068519626675295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2"/>
      <c r="U34" s="395"/>
    </row>
    <row r="35" spans="1:21" ht="14.25">
      <c r="A35" s="297"/>
      <c r="B35" s="108"/>
      <c r="C35" s="108" t="s">
        <v>523</v>
      </c>
      <c r="D35" s="108"/>
      <c r="E35" s="109"/>
      <c r="F35" s="114" t="s">
        <v>524</v>
      </c>
      <c r="G35" s="114"/>
      <c r="H35" s="111">
        <v>125522414</v>
      </c>
      <c r="I35" s="286">
        <v>35.980646384811465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2"/>
      <c r="U35" s="395"/>
    </row>
    <row r="36" spans="1:21" ht="14.25">
      <c r="A36" s="297"/>
      <c r="B36" s="108"/>
      <c r="C36" s="108"/>
      <c r="D36" s="108" t="s">
        <v>523</v>
      </c>
      <c r="E36" s="109"/>
      <c r="F36" s="114" t="s">
        <v>525</v>
      </c>
      <c r="G36" s="114"/>
      <c r="H36" s="111">
        <v>256848064</v>
      </c>
      <c r="I36" s="286">
        <v>73.624774021693227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2"/>
      <c r="U36" s="395"/>
    </row>
    <row r="37" spans="1:21" ht="14.25">
      <c r="A37" s="297"/>
      <c r="B37" s="108"/>
      <c r="C37" s="108"/>
      <c r="D37" s="108" t="s">
        <v>526</v>
      </c>
      <c r="E37" s="109"/>
      <c r="F37" s="114" t="s">
        <v>527</v>
      </c>
      <c r="G37" s="114"/>
      <c r="H37" s="111">
        <v>-131325650</v>
      </c>
      <c r="I37" s="286">
        <v>-37.64412763688177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2"/>
      <c r="U37" s="395"/>
    </row>
    <row r="38" spans="1:21" ht="14.25" hidden="1">
      <c r="A38" s="297"/>
      <c r="B38" s="108"/>
      <c r="C38" s="108"/>
      <c r="D38" s="108"/>
      <c r="E38" s="109"/>
      <c r="F38" s="114"/>
      <c r="G38" s="114"/>
      <c r="H38" s="111"/>
      <c r="I38" s="286"/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2"/>
      <c r="U38" s="395"/>
    </row>
    <row r="39" spans="1:21" ht="14.25">
      <c r="A39" s="297"/>
      <c r="B39" s="108"/>
      <c r="C39" s="108" t="s">
        <v>47</v>
      </c>
      <c r="D39" s="108"/>
      <c r="E39" s="109"/>
      <c r="F39" s="114" t="s">
        <v>528</v>
      </c>
      <c r="G39" s="114"/>
      <c r="H39" s="111">
        <v>4254475</v>
      </c>
      <c r="I39" s="286">
        <v>1.2195332741769986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2"/>
      <c r="U39" s="395"/>
    </row>
    <row r="40" spans="1:21" ht="14.25">
      <c r="A40" s="297"/>
      <c r="B40" s="108"/>
      <c r="C40" s="108"/>
      <c r="D40" s="108" t="s">
        <v>47</v>
      </c>
      <c r="E40" s="109"/>
      <c r="F40" s="114" t="s">
        <v>529</v>
      </c>
      <c r="G40" s="114"/>
      <c r="H40" s="111">
        <v>16523645</v>
      </c>
      <c r="I40" s="286">
        <v>4.736456293241444</v>
      </c>
      <c r="J40" s="107"/>
      <c r="K40" s="108"/>
      <c r="L40" s="108"/>
      <c r="M40" s="108"/>
      <c r="N40" s="108"/>
      <c r="O40" s="109"/>
      <c r="P40" s="109"/>
      <c r="Q40" s="112"/>
      <c r="R40" s="114"/>
      <c r="S40" s="114"/>
      <c r="T40" s="432"/>
      <c r="U40" s="395"/>
    </row>
    <row r="41" spans="1:21" ht="14.25">
      <c r="A41" s="297"/>
      <c r="B41" s="108"/>
      <c r="C41" s="108"/>
      <c r="D41" s="108" t="s">
        <v>530</v>
      </c>
      <c r="E41" s="109"/>
      <c r="F41" s="114" t="s">
        <v>531</v>
      </c>
      <c r="G41" s="114"/>
      <c r="H41" s="111">
        <v>-12269170</v>
      </c>
      <c r="I41" s="286">
        <v>-3.5169230190644454</v>
      </c>
      <c r="J41" s="107"/>
      <c r="K41" s="108"/>
      <c r="L41" s="108"/>
      <c r="M41" s="108"/>
      <c r="N41" s="108"/>
      <c r="O41" s="109"/>
      <c r="P41" s="109"/>
      <c r="Q41" s="112"/>
      <c r="R41" s="114"/>
      <c r="S41" s="114"/>
      <c r="T41" s="432"/>
      <c r="U41" s="395"/>
    </row>
    <row r="42" spans="1:21" ht="14.25">
      <c r="A42" s="297"/>
      <c r="B42" s="108"/>
      <c r="C42" s="108" t="s">
        <v>48</v>
      </c>
      <c r="D42" s="108"/>
      <c r="E42" s="109"/>
      <c r="F42" s="114" t="s">
        <v>532</v>
      </c>
      <c r="G42" s="114"/>
      <c r="H42" s="111">
        <v>943257</v>
      </c>
      <c r="I42" s="286">
        <v>0.27038196195779102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2"/>
      <c r="U42" s="395"/>
    </row>
    <row r="43" spans="1:21" ht="14.25">
      <c r="A43" s="297"/>
      <c r="B43" s="108"/>
      <c r="C43" s="108"/>
      <c r="D43" s="108" t="s">
        <v>48</v>
      </c>
      <c r="E43" s="109"/>
      <c r="F43" s="114" t="s">
        <v>533</v>
      </c>
      <c r="G43" s="114"/>
      <c r="H43" s="111">
        <v>4266837</v>
      </c>
      <c r="I43" s="286">
        <v>1.2230768066540672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2"/>
      <c r="U43" s="395"/>
    </row>
    <row r="44" spans="1:21" ht="14.25">
      <c r="A44" s="297"/>
      <c r="B44" s="108"/>
      <c r="C44" s="108"/>
      <c r="D44" s="108" t="s">
        <v>534</v>
      </c>
      <c r="E44" s="109"/>
      <c r="F44" s="114" t="s">
        <v>535</v>
      </c>
      <c r="G44" s="114"/>
      <c r="H44" s="111">
        <v>-3323580</v>
      </c>
      <c r="I44" s="286">
        <v>-0.95269484469627597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2"/>
      <c r="U44" s="395"/>
    </row>
    <row r="45" spans="1:21" ht="14.25" hidden="1">
      <c r="A45" s="297"/>
      <c r="B45" s="108"/>
      <c r="C45" s="108"/>
      <c r="D45" s="108"/>
      <c r="E45" s="109"/>
      <c r="F45" s="114"/>
      <c r="G45" s="114"/>
      <c r="H45" s="111"/>
      <c r="I45" s="286"/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2"/>
      <c r="U45" s="395"/>
    </row>
    <row r="46" spans="1:21" ht="14.25">
      <c r="A46" s="566"/>
      <c r="B46" s="567"/>
      <c r="C46" s="567" t="s">
        <v>196</v>
      </c>
      <c r="D46" s="567"/>
      <c r="E46" s="568"/>
      <c r="F46" s="569" t="s">
        <v>536</v>
      </c>
      <c r="G46" s="569"/>
      <c r="H46" s="570">
        <v>13607905</v>
      </c>
      <c r="I46" s="571">
        <v>3.9006676356870233</v>
      </c>
      <c r="J46" s="119"/>
      <c r="K46" s="567"/>
      <c r="L46" s="567"/>
      <c r="M46" s="567"/>
      <c r="N46" s="567"/>
      <c r="O46" s="568"/>
      <c r="P46" s="568"/>
      <c r="Q46" s="572"/>
      <c r="R46" s="569"/>
      <c r="S46" s="569"/>
      <c r="T46" s="573"/>
      <c r="U46" s="574"/>
    </row>
    <row r="47" spans="1:21" ht="14.25">
      <c r="A47" s="101"/>
      <c r="B47" s="102"/>
      <c r="C47" s="102"/>
      <c r="D47" s="102" t="s">
        <v>196</v>
      </c>
      <c r="E47" s="103"/>
      <c r="F47" s="104" t="s">
        <v>537</v>
      </c>
      <c r="G47" s="104"/>
      <c r="H47" s="105">
        <v>40089147</v>
      </c>
      <c r="I47" s="285">
        <v>11.491441059090253</v>
      </c>
      <c r="J47" s="366"/>
      <c r="K47" s="102"/>
      <c r="L47" s="102"/>
      <c r="M47" s="102"/>
      <c r="N47" s="102"/>
      <c r="O47" s="103"/>
      <c r="P47" s="103"/>
      <c r="Q47" s="106"/>
      <c r="R47" s="104"/>
      <c r="S47" s="104"/>
      <c r="T47" s="575"/>
      <c r="U47" s="394"/>
    </row>
    <row r="48" spans="1:21" ht="14.25">
      <c r="A48" s="297"/>
      <c r="B48" s="108"/>
      <c r="C48" s="108"/>
      <c r="D48" s="108" t="s">
        <v>538</v>
      </c>
      <c r="E48" s="109"/>
      <c r="F48" s="114" t="s">
        <v>539</v>
      </c>
      <c r="G48" s="114"/>
      <c r="H48" s="111">
        <v>-26481242</v>
      </c>
      <c r="I48" s="286">
        <v>-7.5907734234032294</v>
      </c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2"/>
      <c r="U48" s="395"/>
    </row>
    <row r="49" spans="1:21" ht="14.25" hidden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2"/>
      <c r="U49" s="395"/>
    </row>
    <row r="50" spans="1:21" ht="14.25">
      <c r="A50" s="297"/>
      <c r="B50" s="108" t="s">
        <v>540</v>
      </c>
      <c r="C50" s="108"/>
      <c r="D50" s="108"/>
      <c r="E50" s="109"/>
      <c r="F50" s="114" t="s">
        <v>541</v>
      </c>
      <c r="G50" s="114"/>
      <c r="H50" s="111">
        <v>584528</v>
      </c>
      <c r="I50" s="286">
        <v>0.16755330462351586</v>
      </c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2"/>
      <c r="U50" s="395"/>
    </row>
    <row r="51" spans="1:21" ht="14.25">
      <c r="A51" s="297"/>
      <c r="B51" s="108"/>
      <c r="C51" s="108" t="s">
        <v>540</v>
      </c>
      <c r="D51" s="108"/>
      <c r="E51" s="109"/>
      <c r="F51" s="114" t="s">
        <v>542</v>
      </c>
      <c r="G51" s="114"/>
      <c r="H51" s="111">
        <v>584528</v>
      </c>
      <c r="I51" s="286">
        <v>0.16755330462351586</v>
      </c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2"/>
      <c r="U51" s="395"/>
    </row>
    <row r="52" spans="1:21" ht="14.25">
      <c r="A52" s="297"/>
      <c r="B52" s="108"/>
      <c r="C52" s="108"/>
      <c r="D52" s="108" t="s">
        <v>433</v>
      </c>
      <c r="E52" s="109"/>
      <c r="F52" s="114" t="s">
        <v>543</v>
      </c>
      <c r="G52" s="114"/>
      <c r="H52" s="111">
        <v>584528</v>
      </c>
      <c r="I52" s="286">
        <v>0.16755330462351586</v>
      </c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2"/>
      <c r="U52" s="395"/>
    </row>
    <row r="53" spans="1:21" ht="14.25">
      <c r="A53" s="297" t="s">
        <v>544</v>
      </c>
      <c r="B53" s="108"/>
      <c r="C53" s="108"/>
      <c r="D53" s="108"/>
      <c r="E53" s="109"/>
      <c r="F53" s="114"/>
      <c r="G53" s="114"/>
      <c r="H53" s="111">
        <v>348860920</v>
      </c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2"/>
      <c r="U53" s="395"/>
    </row>
    <row r="54" spans="1:21" ht="11.65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2"/>
      <c r="U54" s="395"/>
    </row>
    <row r="55" spans="1:21" ht="11.65" hidden="1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2"/>
      <c r="U55" s="395"/>
    </row>
    <row r="56" spans="1:21" ht="11.65" hidden="1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2"/>
      <c r="U56" s="395"/>
    </row>
    <row r="57" spans="1:21" ht="11.65" hidden="1" customHeight="1">
      <c r="A57" s="297"/>
      <c r="B57" s="108"/>
      <c r="C57" s="108"/>
      <c r="D57" s="108"/>
      <c r="E57" s="109"/>
      <c r="F57" s="114"/>
      <c r="G57" s="114"/>
      <c r="H57" s="111"/>
      <c r="I57" s="286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2"/>
      <c r="U57" s="395"/>
    </row>
    <row r="58" spans="1:21" ht="11.65" hidden="1" customHeight="1">
      <c r="A58" s="297"/>
      <c r="B58" s="108"/>
      <c r="C58" s="108"/>
      <c r="D58" s="108"/>
      <c r="E58" s="109"/>
      <c r="F58" s="114"/>
      <c r="G58" s="114"/>
      <c r="H58" s="111"/>
      <c r="I58" s="286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2"/>
      <c r="U58" s="395"/>
    </row>
    <row r="59" spans="1:21" ht="11.65" hidden="1" customHeight="1">
      <c r="A59" s="297"/>
      <c r="B59" s="108"/>
      <c r="C59" s="108"/>
      <c r="D59" s="108"/>
      <c r="E59" s="109"/>
      <c r="F59" s="114"/>
      <c r="G59" s="114"/>
      <c r="H59" s="111"/>
      <c r="I59" s="286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2"/>
      <c r="U59" s="395"/>
    </row>
    <row r="60" spans="1:21" ht="11.65" hidden="1" customHeight="1">
      <c r="A60" s="297"/>
      <c r="B60" s="108"/>
      <c r="C60" s="108"/>
      <c r="D60" s="108"/>
      <c r="E60" s="109"/>
      <c r="F60" s="114"/>
      <c r="G60" s="114"/>
      <c r="H60" s="111"/>
      <c r="I60" s="286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2"/>
      <c r="U60" s="395"/>
    </row>
    <row r="61" spans="1:21" ht="11.65" hidden="1" customHeight="1">
      <c r="A61" s="297"/>
      <c r="B61" s="108"/>
      <c r="C61" s="108"/>
      <c r="D61" s="108"/>
      <c r="E61" s="109"/>
      <c r="F61" s="114"/>
      <c r="G61" s="114"/>
      <c r="H61" s="111"/>
      <c r="I61" s="286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2"/>
      <c r="U61" s="395"/>
    </row>
    <row r="62" spans="1:21" ht="11.65" hidden="1" customHeight="1">
      <c r="A62" s="297"/>
      <c r="B62" s="108"/>
      <c r="C62" s="108"/>
      <c r="D62" s="108"/>
      <c r="E62" s="109"/>
      <c r="F62" s="114"/>
      <c r="G62" s="114"/>
      <c r="H62" s="111"/>
      <c r="I62" s="286"/>
      <c r="J62" s="107"/>
      <c r="K62" s="108"/>
      <c r="L62" s="108"/>
      <c r="M62" s="108"/>
      <c r="N62" s="108"/>
      <c r="O62" s="109"/>
      <c r="P62" s="109"/>
      <c r="Q62" s="112"/>
      <c r="R62" s="114"/>
      <c r="S62" s="114"/>
      <c r="T62" s="432"/>
      <c r="U62" s="395"/>
    </row>
    <row r="63" spans="1:21" ht="11.65" hidden="1" customHeight="1">
      <c r="A63" s="297"/>
      <c r="B63" s="108"/>
      <c r="C63" s="108"/>
      <c r="D63" s="108"/>
      <c r="E63" s="109"/>
      <c r="F63" s="114"/>
      <c r="G63" s="114"/>
      <c r="H63" s="111"/>
      <c r="I63" s="286"/>
      <c r="J63" s="107"/>
      <c r="K63" s="108"/>
      <c r="L63" s="108"/>
      <c r="M63" s="108"/>
      <c r="N63" s="108"/>
      <c r="O63" s="109"/>
      <c r="P63" s="109"/>
      <c r="Q63" s="112"/>
      <c r="R63" s="114"/>
      <c r="S63" s="114"/>
      <c r="T63" s="432"/>
      <c r="U63" s="395"/>
    </row>
    <row r="64" spans="1:21" ht="11.65" hidden="1" customHeight="1">
      <c r="A64" s="297"/>
      <c r="B64" s="108"/>
      <c r="C64" s="108"/>
      <c r="D64" s="108"/>
      <c r="E64" s="109"/>
      <c r="F64" s="114"/>
      <c r="G64" s="114"/>
      <c r="H64" s="111"/>
      <c r="I64" s="286"/>
      <c r="J64" s="107"/>
      <c r="K64" s="108"/>
      <c r="L64" s="108"/>
      <c r="M64" s="108"/>
      <c r="N64" s="108"/>
      <c r="O64" s="109"/>
      <c r="P64" s="109"/>
      <c r="Q64" s="112"/>
      <c r="R64" s="114"/>
      <c r="S64" s="114"/>
      <c r="T64" s="432"/>
      <c r="U64" s="395"/>
    </row>
    <row r="65" spans="1:21" ht="11.65" hidden="1" customHeight="1">
      <c r="A65" s="297"/>
      <c r="B65" s="108"/>
      <c r="C65" s="108"/>
      <c r="D65" s="108"/>
      <c r="E65" s="109"/>
      <c r="F65" s="114"/>
      <c r="G65" s="114"/>
      <c r="H65" s="111"/>
      <c r="I65" s="286"/>
      <c r="J65" s="107"/>
      <c r="K65" s="108"/>
      <c r="L65" s="108"/>
      <c r="M65" s="108"/>
      <c r="N65" s="108"/>
      <c r="O65" s="109"/>
      <c r="P65" s="109"/>
      <c r="Q65" s="112"/>
      <c r="R65" s="114"/>
      <c r="S65" s="114"/>
      <c r="T65" s="432"/>
      <c r="U65" s="395"/>
    </row>
    <row r="66" spans="1:21" ht="11.65" hidden="1" customHeight="1">
      <c r="A66" s="297"/>
      <c r="B66" s="108"/>
      <c r="C66" s="108"/>
      <c r="D66" s="108"/>
      <c r="E66" s="109"/>
      <c r="F66" s="114"/>
      <c r="G66" s="114"/>
      <c r="H66" s="111"/>
      <c r="I66" s="286"/>
      <c r="J66" s="107"/>
      <c r="K66" s="108"/>
      <c r="L66" s="108"/>
      <c r="M66" s="108"/>
      <c r="N66" s="108"/>
      <c r="O66" s="109"/>
      <c r="P66" s="109"/>
      <c r="Q66" s="112"/>
      <c r="R66" s="114"/>
      <c r="S66" s="114"/>
      <c r="T66" s="432"/>
      <c r="U66" s="395"/>
    </row>
    <row r="67" spans="1:21" ht="11.65" hidden="1" customHeight="1">
      <c r="A67" s="297"/>
      <c r="B67" s="108"/>
      <c r="C67" s="108"/>
      <c r="D67" s="108"/>
      <c r="E67" s="109"/>
      <c r="F67" s="114"/>
      <c r="G67" s="114"/>
      <c r="H67" s="111"/>
      <c r="I67" s="286"/>
      <c r="J67" s="107"/>
      <c r="K67" s="108"/>
      <c r="L67" s="108"/>
      <c r="M67" s="108"/>
      <c r="N67" s="108"/>
      <c r="O67" s="109"/>
      <c r="P67" s="109"/>
      <c r="Q67" s="112"/>
      <c r="R67" s="114"/>
      <c r="S67" s="114"/>
      <c r="T67" s="432"/>
      <c r="U67" s="395"/>
    </row>
    <row r="68" spans="1:21" ht="11.65" hidden="1" customHeight="1">
      <c r="A68" s="297"/>
      <c r="B68" s="108"/>
      <c r="C68" s="108"/>
      <c r="D68" s="108"/>
      <c r="E68" s="109"/>
      <c r="F68" s="114"/>
      <c r="G68" s="114"/>
      <c r="H68" s="111"/>
      <c r="I68" s="286"/>
      <c r="J68" s="107"/>
      <c r="K68" s="108"/>
      <c r="L68" s="108"/>
      <c r="M68" s="108"/>
      <c r="N68" s="108"/>
      <c r="O68" s="109"/>
      <c r="P68" s="109"/>
      <c r="Q68" s="112"/>
      <c r="R68" s="114"/>
      <c r="S68" s="114"/>
      <c r="T68" s="432"/>
      <c r="U68" s="395"/>
    </row>
    <row r="69" spans="1:21" ht="11.65" hidden="1" customHeight="1">
      <c r="A69" s="297"/>
      <c r="B69" s="108"/>
      <c r="C69" s="108"/>
      <c r="D69" s="108"/>
      <c r="E69" s="109"/>
      <c r="F69" s="114"/>
      <c r="G69" s="114"/>
      <c r="H69" s="111"/>
      <c r="I69" s="286"/>
      <c r="J69" s="107"/>
      <c r="K69" s="108"/>
      <c r="L69" s="108"/>
      <c r="M69" s="108"/>
      <c r="N69" s="108"/>
      <c r="O69" s="109"/>
      <c r="P69" s="109"/>
      <c r="Q69" s="112"/>
      <c r="R69" s="114"/>
      <c r="S69" s="114"/>
      <c r="T69" s="432"/>
      <c r="U69" s="395"/>
    </row>
    <row r="70" spans="1:21" ht="11.65" hidden="1" customHeight="1">
      <c r="A70" s="297"/>
      <c r="B70" s="108"/>
      <c r="C70" s="108"/>
      <c r="D70" s="108"/>
      <c r="E70" s="109"/>
      <c r="F70" s="114"/>
      <c r="G70" s="114"/>
      <c r="H70" s="111"/>
      <c r="I70" s="286"/>
      <c r="J70" s="107"/>
      <c r="K70" s="108"/>
      <c r="L70" s="108"/>
      <c r="M70" s="108"/>
      <c r="N70" s="108"/>
      <c r="O70" s="109"/>
      <c r="P70" s="109"/>
      <c r="Q70" s="112"/>
      <c r="R70" s="114"/>
      <c r="S70" s="114"/>
      <c r="T70" s="432"/>
      <c r="U70" s="395"/>
    </row>
    <row r="71" spans="1:21" ht="11.65" hidden="1" customHeight="1">
      <c r="A71" s="107"/>
      <c r="B71" s="108"/>
      <c r="C71" s="108"/>
      <c r="D71" s="108"/>
      <c r="E71" s="109"/>
      <c r="F71" s="110"/>
      <c r="G71" s="110"/>
      <c r="H71" s="111"/>
      <c r="I71" s="286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2"/>
      <c r="U71" s="395"/>
    </row>
    <row r="72" spans="1:21" ht="11.65" hidden="1" customHeight="1">
      <c r="A72" s="107"/>
      <c r="B72" s="108"/>
      <c r="C72" s="108"/>
      <c r="D72" s="108"/>
      <c r="E72" s="109"/>
      <c r="F72" s="110"/>
      <c r="G72" s="110"/>
      <c r="H72" s="111"/>
      <c r="I72" s="286"/>
      <c r="J72" s="107"/>
      <c r="K72" s="113"/>
      <c r="L72" s="108"/>
      <c r="M72" s="108"/>
      <c r="N72" s="108"/>
      <c r="O72" s="109"/>
      <c r="P72" s="109"/>
      <c r="Q72" s="112"/>
      <c r="R72" s="114"/>
      <c r="S72" s="114"/>
      <c r="T72" s="432"/>
      <c r="U72" s="395"/>
    </row>
    <row r="73" spans="1:21" ht="11.65" hidden="1" customHeight="1">
      <c r="A73" s="107"/>
      <c r="B73" s="108"/>
      <c r="C73" s="108"/>
      <c r="D73" s="108"/>
      <c r="E73" s="109"/>
      <c r="F73" s="110"/>
      <c r="G73" s="110"/>
      <c r="H73" s="111"/>
      <c r="I73" s="286"/>
      <c r="J73" s="107"/>
      <c r="K73" s="113"/>
      <c r="L73" s="108"/>
      <c r="M73" s="108"/>
      <c r="N73" s="108"/>
      <c r="O73" s="109"/>
      <c r="P73" s="109"/>
      <c r="Q73" s="112"/>
      <c r="R73" s="114"/>
      <c r="S73" s="114"/>
      <c r="T73" s="432"/>
      <c r="U73" s="395"/>
    </row>
    <row r="74" spans="1:21" ht="11.65" hidden="1" customHeight="1">
      <c r="A74" s="107"/>
      <c r="B74" s="108"/>
      <c r="C74" s="108"/>
      <c r="D74" s="108"/>
      <c r="E74" s="109"/>
      <c r="F74" s="110"/>
      <c r="G74" s="110"/>
      <c r="H74" s="111"/>
      <c r="I74" s="286"/>
      <c r="J74" s="107"/>
      <c r="K74" s="113"/>
      <c r="L74" s="108"/>
      <c r="M74" s="108"/>
      <c r="N74" s="108"/>
      <c r="O74" s="109"/>
      <c r="P74" s="109"/>
      <c r="Q74" s="112"/>
      <c r="R74" s="114"/>
      <c r="S74" s="114"/>
      <c r="T74" s="432"/>
      <c r="U74" s="395"/>
    </row>
    <row r="75" spans="1:21" ht="11.65" hidden="1" customHeight="1">
      <c r="A75" s="107"/>
      <c r="B75" s="108"/>
      <c r="C75" s="108"/>
      <c r="D75" s="108"/>
      <c r="E75" s="109"/>
      <c r="F75" s="110"/>
      <c r="G75" s="110"/>
      <c r="H75" s="111"/>
      <c r="I75" s="286"/>
      <c r="J75" s="107"/>
      <c r="K75" s="113"/>
      <c r="L75" s="108"/>
      <c r="M75" s="108"/>
      <c r="N75" s="108"/>
      <c r="O75" s="109"/>
      <c r="P75" s="109"/>
      <c r="Q75" s="112"/>
      <c r="R75" s="114"/>
      <c r="S75" s="114"/>
      <c r="T75" s="432"/>
      <c r="U75" s="395"/>
    </row>
    <row r="76" spans="1:21" ht="11.65" hidden="1" customHeight="1">
      <c r="A76" s="107"/>
      <c r="B76" s="108"/>
      <c r="C76" s="108"/>
      <c r="D76" s="108"/>
      <c r="E76" s="109"/>
      <c r="F76" s="110"/>
      <c r="G76" s="110"/>
      <c r="H76" s="111"/>
      <c r="I76" s="286"/>
      <c r="J76" s="107"/>
      <c r="K76" s="113"/>
      <c r="L76" s="108"/>
      <c r="M76" s="108"/>
      <c r="N76" s="108"/>
      <c r="O76" s="109"/>
      <c r="P76" s="109"/>
      <c r="Q76" s="112"/>
      <c r="R76" s="114"/>
      <c r="S76" s="114"/>
      <c r="T76" s="432"/>
      <c r="U76" s="395"/>
    </row>
    <row r="77" spans="1:21" ht="11.65" hidden="1" customHeight="1">
      <c r="A77" s="107"/>
      <c r="B77" s="108"/>
      <c r="C77" s="108"/>
      <c r="D77" s="108"/>
      <c r="E77" s="109"/>
      <c r="F77" s="110"/>
      <c r="G77" s="110"/>
      <c r="H77" s="111"/>
      <c r="I77" s="286"/>
      <c r="J77" s="107"/>
      <c r="K77" s="113"/>
      <c r="L77" s="108"/>
      <c r="M77" s="108"/>
      <c r="N77" s="108"/>
      <c r="O77" s="109"/>
      <c r="P77" s="109"/>
      <c r="Q77" s="112"/>
      <c r="R77" s="114"/>
      <c r="S77" s="114"/>
      <c r="T77" s="432"/>
      <c r="U77" s="395"/>
    </row>
    <row r="78" spans="1:21" ht="11.65" hidden="1" customHeight="1">
      <c r="A78" s="107"/>
      <c r="B78" s="108"/>
      <c r="C78" s="108"/>
      <c r="D78" s="108"/>
      <c r="E78" s="109"/>
      <c r="F78" s="110"/>
      <c r="G78" s="110"/>
      <c r="H78" s="111"/>
      <c r="I78" s="286"/>
      <c r="J78" s="107"/>
      <c r="K78" s="113"/>
      <c r="L78" s="108"/>
      <c r="M78" s="108"/>
      <c r="N78" s="108"/>
      <c r="O78" s="109"/>
      <c r="P78" s="109"/>
      <c r="Q78" s="112"/>
      <c r="R78" s="114"/>
      <c r="S78" s="114"/>
      <c r="T78" s="432"/>
      <c r="U78" s="395"/>
    </row>
    <row r="79" spans="1:21" ht="11.65" hidden="1" customHeight="1">
      <c r="A79" s="107"/>
      <c r="B79" s="108"/>
      <c r="C79" s="108"/>
      <c r="D79" s="108"/>
      <c r="E79" s="109"/>
      <c r="F79" s="110"/>
      <c r="G79" s="110"/>
      <c r="H79" s="111"/>
      <c r="I79" s="286"/>
      <c r="J79" s="107"/>
      <c r="K79" s="113"/>
      <c r="L79" s="108"/>
      <c r="M79" s="108"/>
      <c r="N79" s="108"/>
      <c r="O79" s="109"/>
      <c r="P79" s="109"/>
      <c r="Q79" s="112"/>
      <c r="R79" s="114"/>
      <c r="S79" s="114"/>
      <c r="T79" s="432"/>
      <c r="U79" s="395"/>
    </row>
    <row r="80" spans="1:21" ht="11.65" hidden="1" customHeight="1">
      <c r="A80" s="107"/>
      <c r="B80" s="108"/>
      <c r="C80" s="108"/>
      <c r="D80" s="108"/>
      <c r="E80" s="109"/>
      <c r="F80" s="110"/>
      <c r="G80" s="110"/>
      <c r="H80" s="111"/>
      <c r="I80" s="286"/>
      <c r="J80" s="107"/>
      <c r="K80" s="113"/>
      <c r="L80" s="108"/>
      <c r="M80" s="108"/>
      <c r="N80" s="108"/>
      <c r="O80" s="109"/>
      <c r="P80" s="109"/>
      <c r="Q80" s="112"/>
      <c r="R80" s="114"/>
      <c r="S80" s="114"/>
      <c r="T80" s="432"/>
      <c r="U80" s="395"/>
    </row>
    <row r="81" spans="1:21" ht="11.65" hidden="1" customHeight="1">
      <c r="A81" s="107"/>
      <c r="B81" s="113"/>
      <c r="C81" s="113"/>
      <c r="D81" s="113"/>
      <c r="E81" s="109"/>
      <c r="F81" s="114"/>
      <c r="G81" s="114"/>
      <c r="H81" s="111"/>
      <c r="I81" s="286"/>
      <c r="J81" s="107"/>
      <c r="K81" s="113"/>
      <c r="L81" s="113"/>
      <c r="M81" s="108"/>
      <c r="N81" s="108"/>
      <c r="O81" s="109"/>
      <c r="P81" s="109"/>
      <c r="Q81" s="112"/>
      <c r="R81" s="114"/>
      <c r="S81" s="114"/>
      <c r="T81" s="432"/>
      <c r="U81" s="395"/>
    </row>
    <row r="82" spans="1:21" ht="11.65" hidden="1" customHeight="1">
      <c r="A82" s="107"/>
      <c r="B82" s="113"/>
      <c r="C82" s="113"/>
      <c r="D82" s="108"/>
      <c r="E82" s="109"/>
      <c r="F82" s="114"/>
      <c r="G82" s="114"/>
      <c r="H82" s="111"/>
      <c r="I82" s="286"/>
      <c r="J82" s="107"/>
      <c r="K82" s="113"/>
      <c r="L82" s="113"/>
      <c r="M82" s="113"/>
      <c r="N82" s="108"/>
      <c r="O82" s="109"/>
      <c r="P82" s="109"/>
      <c r="Q82" s="112"/>
      <c r="R82" s="114"/>
      <c r="S82" s="114"/>
      <c r="T82" s="432"/>
      <c r="U82" s="395"/>
    </row>
    <row r="83" spans="1:21" ht="11.65" hidden="1" customHeight="1">
      <c r="A83" s="107"/>
      <c r="B83" s="113"/>
      <c r="C83" s="108"/>
      <c r="D83" s="108"/>
      <c r="E83" s="109"/>
      <c r="F83" s="114"/>
      <c r="G83" s="114"/>
      <c r="H83" s="111"/>
      <c r="I83" s="286"/>
      <c r="J83" s="107"/>
      <c r="K83" s="113"/>
      <c r="L83" s="113"/>
      <c r="M83" s="113"/>
      <c r="N83" s="108"/>
      <c r="O83" s="109"/>
      <c r="P83" s="109"/>
      <c r="Q83" s="112"/>
      <c r="R83" s="114"/>
      <c r="S83" s="114"/>
      <c r="T83" s="432"/>
      <c r="U83" s="395"/>
    </row>
    <row r="84" spans="1:21" ht="11.65" hidden="1" customHeight="1">
      <c r="A84" s="107"/>
      <c r="B84" s="113"/>
      <c r="C84" s="113"/>
      <c r="D84" s="108"/>
      <c r="E84" s="109"/>
      <c r="F84" s="114"/>
      <c r="G84" s="114"/>
      <c r="H84" s="111"/>
      <c r="I84" s="286"/>
      <c r="J84" s="107"/>
      <c r="K84" s="115"/>
      <c r="L84" s="115"/>
      <c r="M84" s="115"/>
      <c r="N84" s="115"/>
      <c r="O84" s="116"/>
      <c r="P84" s="116"/>
      <c r="Q84" s="117"/>
      <c r="R84" s="298"/>
      <c r="S84" s="298"/>
      <c r="T84" s="432"/>
      <c r="U84" s="395"/>
    </row>
    <row r="85" spans="1:21" ht="11.65" hidden="1" customHeight="1">
      <c r="A85" s="107"/>
      <c r="B85" s="115"/>
      <c r="C85" s="115"/>
      <c r="D85" s="115"/>
      <c r="E85" s="116"/>
      <c r="F85" s="110"/>
      <c r="G85" s="110"/>
      <c r="H85" s="111"/>
      <c r="I85" s="286"/>
      <c r="J85" s="107"/>
      <c r="K85" s="113"/>
      <c r="L85" s="115"/>
      <c r="M85" s="115"/>
      <c r="N85" s="115"/>
      <c r="O85" s="116"/>
      <c r="P85" s="116"/>
      <c r="Q85" s="117"/>
      <c r="R85" s="298"/>
      <c r="S85" s="298"/>
      <c r="T85" s="432"/>
      <c r="U85" s="395"/>
    </row>
    <row r="86" spans="1:21" ht="11.65" hidden="1" customHeight="1">
      <c r="A86" s="107"/>
      <c r="B86" s="115"/>
      <c r="C86" s="115"/>
      <c r="D86" s="115"/>
      <c r="E86" s="116"/>
      <c r="F86" s="107"/>
      <c r="G86" s="107"/>
      <c r="H86" s="118"/>
      <c r="I86" s="287"/>
      <c r="J86" s="107"/>
      <c r="K86" s="113"/>
      <c r="L86" s="113"/>
      <c r="M86" s="115"/>
      <c r="N86" s="115"/>
      <c r="O86" s="116"/>
      <c r="P86" s="116"/>
      <c r="Q86" s="117"/>
      <c r="R86" s="298"/>
      <c r="S86" s="298"/>
      <c r="T86" s="432"/>
      <c r="U86" s="395"/>
    </row>
    <row r="87" spans="1:21" ht="11.65" hidden="1" customHeight="1">
      <c r="A87" s="107"/>
      <c r="B87" s="113"/>
      <c r="C87" s="108"/>
      <c r="D87" s="108"/>
      <c r="E87" s="109"/>
      <c r="F87" s="114"/>
      <c r="G87" s="114"/>
      <c r="H87" s="111"/>
      <c r="I87" s="286"/>
      <c r="J87" s="107"/>
      <c r="K87" s="113"/>
      <c r="L87" s="113"/>
      <c r="M87" s="113"/>
      <c r="N87" s="115"/>
      <c r="O87" s="116"/>
      <c r="P87" s="116"/>
      <c r="Q87" s="117"/>
      <c r="R87" s="298"/>
      <c r="S87" s="298"/>
      <c r="T87" s="432"/>
      <c r="U87" s="395"/>
    </row>
    <row r="88" spans="1:21" ht="11.65" hidden="1" customHeight="1">
      <c r="A88" s="107"/>
      <c r="B88" s="115"/>
      <c r="C88" s="115"/>
      <c r="D88" s="115"/>
      <c r="E88" s="116"/>
      <c r="F88" s="110"/>
      <c r="G88" s="110"/>
      <c r="H88" s="111"/>
      <c r="I88" s="286"/>
      <c r="J88" s="107"/>
      <c r="K88" s="113"/>
      <c r="L88" s="113"/>
      <c r="M88" s="113"/>
      <c r="N88" s="108"/>
      <c r="O88" s="109"/>
      <c r="P88" s="109"/>
      <c r="Q88" s="112"/>
      <c r="R88" s="114"/>
      <c r="S88" s="114"/>
      <c r="T88" s="112"/>
      <c r="U88" s="395"/>
    </row>
    <row r="89" spans="1:21" ht="11.65" customHeight="1">
      <c r="A89" s="107"/>
      <c r="B89" s="115"/>
      <c r="C89" s="115"/>
      <c r="D89" s="115"/>
      <c r="E89" s="116"/>
      <c r="F89" s="110"/>
      <c r="G89" s="110"/>
      <c r="H89" s="111"/>
      <c r="I89" s="287"/>
      <c r="J89" s="107"/>
      <c r="K89" s="115"/>
      <c r="L89" s="115"/>
      <c r="M89" s="115"/>
      <c r="N89" s="115"/>
      <c r="O89" s="116"/>
      <c r="P89" s="116"/>
      <c r="Q89" s="118"/>
      <c r="R89" s="107"/>
      <c r="S89" s="107"/>
      <c r="T89" s="112"/>
      <c r="U89" s="395"/>
    </row>
    <row r="90" spans="1:21" ht="11.65" customHeight="1">
      <c r="A90" s="119"/>
      <c r="B90" s="120"/>
      <c r="C90" s="120"/>
      <c r="D90" s="120"/>
      <c r="E90" s="121"/>
      <c r="F90" s="119"/>
      <c r="G90" s="119"/>
      <c r="H90" s="122"/>
      <c r="I90" s="288"/>
      <c r="J90" s="119"/>
      <c r="K90" s="120"/>
      <c r="L90" s="120"/>
      <c r="M90" s="120"/>
      <c r="N90" s="120"/>
      <c r="O90" s="121"/>
      <c r="P90" s="121"/>
      <c r="Q90" s="122"/>
      <c r="R90" s="119"/>
      <c r="S90" s="119"/>
      <c r="T90" s="122"/>
      <c r="U90" s="288"/>
    </row>
    <row r="91" spans="1:21" ht="14.25" customHeight="1">
      <c r="A91" s="698" t="s">
        <v>310</v>
      </c>
      <c r="B91" s="698"/>
      <c r="C91" s="698"/>
      <c r="D91" s="698"/>
      <c r="E91" s="698"/>
      <c r="F91" s="698"/>
      <c r="G91" s="699">
        <v>0</v>
      </c>
      <c r="H91" s="699"/>
      <c r="L91" s="698" t="s">
        <v>311</v>
      </c>
      <c r="M91" s="698"/>
      <c r="N91" s="698"/>
      <c r="O91" s="698"/>
      <c r="P91" s="698"/>
      <c r="Q91" s="698"/>
      <c r="R91" s="698"/>
      <c r="S91" s="699">
        <v>0</v>
      </c>
      <c r="T91" s="699"/>
    </row>
    <row r="92" spans="1:21" ht="14.25">
      <c r="A92" s="693" t="s">
        <v>8</v>
      </c>
      <c r="B92" s="693"/>
      <c r="D92" s="396" t="s">
        <v>435</v>
      </c>
    </row>
  </sheetData>
  <mergeCells count="19"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  <mergeCell ref="A92:B92"/>
    <mergeCell ref="T9:T11"/>
    <mergeCell ref="U9:U11"/>
    <mergeCell ref="A91:F91"/>
    <mergeCell ref="G91:H91"/>
    <mergeCell ref="L91:R91"/>
    <mergeCell ref="S91:T9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23</vt:i4>
      </vt:variant>
      <vt:variant>
        <vt:lpstr>具名範圍</vt:lpstr>
      </vt:variant>
      <vt:variant>
        <vt:i4>19</vt:i4>
      </vt:variant>
    </vt:vector>
  </HeadingPairs>
  <TitlesOfParts>
    <vt:vector size="42" baseType="lpstr">
      <vt:lpstr>封面-移交</vt:lpstr>
      <vt:lpstr>勾稽</vt:lpstr>
      <vt:lpstr>簡簽</vt:lpstr>
      <vt:lpstr>預算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達恩 劉</cp:lastModifiedBy>
  <cp:lastPrinted>2025-10-01T00:49:03Z</cp:lastPrinted>
  <dcterms:created xsi:type="dcterms:W3CDTF">2016-11-01T23:05:09Z</dcterms:created>
  <dcterms:modified xsi:type="dcterms:W3CDTF">2025-10-03T05:44:44Z</dcterms:modified>
</cp:coreProperties>
</file>