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A6774869-0332-4EEB-8937-9AFCEB934C6D}" xr6:coauthVersionLast="47" xr6:coauthVersionMax="47" xr10:uidLastSave="{00000000-0000-0000-0000-000000000000}"/>
  <bookViews>
    <workbookView xWindow="28680" yWindow="-120" windowWidth="29040" windowHeight="15720" tabRatio="793" activeTab="2" xr2:uid="{00000000-000D-0000-FFFF-FFFF00000000}"/>
  </bookViews>
  <sheets>
    <sheet name="封面-移交" sheetId="22" r:id="rId1"/>
    <sheet name="勾稽" sheetId="15" state="hidden" r:id="rId2"/>
    <sheet name="簡簽" sheetId="26" r:id="rId3"/>
    <sheet name="勞保" sheetId="28" r:id="rId4"/>
    <sheet name="健保" sheetId="29" r:id="rId5"/>
    <sheet name="代收" sheetId="27" r:id="rId6"/>
    <sheet name="勾稽 (2)" sheetId="25" r:id="rId7"/>
    <sheet name="封面" sheetId="14" r:id="rId8"/>
    <sheet name="餘絀表" sheetId="3" r:id="rId9"/>
    <sheet name="平衡" sheetId="1" r:id="rId10"/>
    <sheet name="主要業務" sheetId="5" r:id="rId11"/>
    <sheet name="資產" sheetId="21" r:id="rId12"/>
    <sheet name="固定" sheetId="8" r:id="rId13"/>
    <sheet name="各項費用" sheetId="9" r:id="rId14"/>
    <sheet name="落後原因" sheetId="10" r:id="rId15"/>
    <sheet name="收支" sheetId="23" r:id="rId16"/>
    <sheet name="對照表" sheetId="24" r:id="rId17"/>
    <sheet name="庫款差額" sheetId="11" r:id="rId18"/>
    <sheet name="縣庫對帳" sheetId="12" r:id="rId19"/>
    <sheet name="專戶差額" sheetId="16" r:id="rId20"/>
    <sheet name="專戶對帳" sheetId="18" r:id="rId21"/>
    <sheet name="固定項目" sheetId="7" r:id="rId22"/>
    <sheet name="保管品" sheetId="17" r:id="rId23"/>
    <sheet name="對帳通知單" sheetId="13" r:id="rId24"/>
  </sheets>
  <externalReferences>
    <externalReference r:id="rId25"/>
    <externalReference r:id="rId26"/>
    <externalReference r:id="rId27"/>
    <externalReference r:id="rId28"/>
  </externalReferences>
  <definedNames>
    <definedName name="_xlnm.Print_Area" localSheetId="10">主要業務!$A$1:$L$24</definedName>
    <definedName name="_xlnm.Print_Area" localSheetId="9">平衡!$A$1:$U$50</definedName>
    <definedName name="_xlnm.Print_Area" localSheetId="13">各項費用!$A$1:$W$86</definedName>
    <definedName name="_xlnm.Print_Area" localSheetId="15">收支!$A$1:$N$45</definedName>
    <definedName name="_xlnm.Print_Area" localSheetId="12">固定!$A$1:$P$42</definedName>
    <definedName name="_xlnm.Print_Area" localSheetId="21">固定項目!$A$1:$I$43</definedName>
    <definedName name="_xlnm.Print_Area" localSheetId="7">封面!$A$1:$N$17</definedName>
    <definedName name="_xlnm.Print_Area" localSheetId="0">'封面-移交'!$A$1:$N$18</definedName>
    <definedName name="_xlnm.Print_Area" localSheetId="17">庫款差額!$A$1:$C$24</definedName>
    <definedName name="_xlnm.Print_Area" localSheetId="19">專戶差額!$A$1:$L$47</definedName>
    <definedName name="_xlnm.Print_Area" localSheetId="14">落後原因!$A$1:$P$29</definedName>
    <definedName name="_xlnm.Print_Area" localSheetId="11">資產!$A$1:$G$41</definedName>
    <definedName name="_xlnm.Print_Area" localSheetId="23">對帳通知單!$A$1:$R$20</definedName>
    <definedName name="_xlnm.Print_Area" localSheetId="16">對照表!$A$1:$I$35</definedName>
    <definedName name="_xlnm.Print_Area" localSheetId="8">餘絀表!$A$1:$AD$49</definedName>
    <definedName name="_xlnm.Print_Area" localSheetId="18">縣庫對帳!$B$1:$L$26</definedName>
    <definedName name="_xlnm.Print_Titles" localSheetId="13">各項費用!$2:$10</definedName>
    <definedName name="_xlnm.Print_Titles" localSheetId="17">庫款差額!$1:$5</definedName>
    <definedName name="_xlnm.Print_Titles" localSheetId="18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5" l="1"/>
  <c r="G49" i="16"/>
  <c r="O154" i="29"/>
  <c r="N154" i="29"/>
  <c r="N107" i="29"/>
  <c r="N117" i="29"/>
  <c r="N139" i="29"/>
  <c r="N143" i="29"/>
  <c r="N149" i="29"/>
  <c r="O189" i="28" l="1"/>
  <c r="N189" i="28"/>
  <c r="N127" i="28"/>
  <c r="N149" i="28"/>
  <c r="N174" i="28"/>
  <c r="N178" i="28"/>
  <c r="N184" i="28"/>
  <c r="Y35" i="27"/>
  <c r="D30" i="25" l="1"/>
  <c r="D29" i="25"/>
  <c r="D26" i="25"/>
  <c r="D25" i="25"/>
  <c r="D28" i="25"/>
  <c r="Y31" i="27"/>
  <c r="Y29" i="27"/>
  <c r="Y27" i="27"/>
  <c r="Y23" i="27"/>
  <c r="Y173" i="27"/>
  <c r="N42" i="23"/>
  <c r="N41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H21" i="25" l="1"/>
  <c r="H20" i="25"/>
  <c r="D32" i="24"/>
  <c r="P7" i="12"/>
  <c r="E7" i="25"/>
  <c r="E6" i="25"/>
  <c r="N40" i="23" l="1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2" i="8"/>
  <c r="N32" i="8" s="1"/>
  <c r="M33" i="8"/>
  <c r="N33" i="8"/>
  <c r="M34" i="8"/>
  <c r="N34" i="8" s="1"/>
  <c r="M35" i="8"/>
  <c r="N35" i="8" s="1"/>
  <c r="M36" i="8"/>
  <c r="N36" i="8" s="1"/>
  <c r="M37" i="8"/>
  <c r="N37" i="8" s="1"/>
  <c r="M38" i="8"/>
  <c r="N38" i="8" s="1"/>
  <c r="M39" i="8"/>
  <c r="N39" i="8" s="1"/>
  <c r="M40" i="8"/>
  <c r="N40" i="8" s="1"/>
  <c r="M21" i="8"/>
  <c r="N21" i="8" s="1"/>
  <c r="L33" i="8"/>
  <c r="L34" i="8"/>
  <c r="L35" i="8"/>
  <c r="L36" i="8"/>
  <c r="L37" i="8"/>
  <c r="L38" i="8"/>
  <c r="L39" i="8"/>
  <c r="L40" i="8"/>
  <c r="L41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I34" i="23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C2" i="3" l="1"/>
  <c r="F26" i="25" l="1"/>
  <c r="F28" i="25"/>
  <c r="F29" i="25"/>
  <c r="AH30" i="3" l="1"/>
  <c r="T50" i="3" l="1"/>
  <c r="P8" i="12"/>
  <c r="D7" i="25"/>
  <c r="AH31" i="3" l="1"/>
  <c r="AH28" i="3"/>
  <c r="E32" i="24" l="1"/>
  <c r="O9" i="14" l="1"/>
  <c r="O10" i="14" s="1"/>
  <c r="G17" i="21"/>
  <c r="G18" i="21"/>
  <c r="G16" i="21"/>
  <c r="K44" i="16" l="1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I37" i="23" l="1"/>
  <c r="I32" i="23"/>
  <c r="I30" i="23"/>
  <c r="I28" i="23"/>
  <c r="I22" i="23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I27" i="23"/>
  <c r="D29" i="24"/>
  <c r="D33" i="24" s="1"/>
  <c r="C5" i="3"/>
  <c r="A6" i="5"/>
  <c r="A4" i="1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G15" i="21"/>
  <c r="G12" i="21"/>
  <c r="F11" i="15"/>
  <c r="D11" i="15"/>
  <c r="E13" i="15"/>
  <c r="F27" i="25" l="1"/>
  <c r="D27" i="25" s="1"/>
  <c r="E29" i="24"/>
  <c r="I39" i="23"/>
  <c r="J29" i="24"/>
  <c r="E15" i="15"/>
  <c r="E20" i="15"/>
  <c r="E21" i="15"/>
  <c r="G11" i="15"/>
  <c r="E13" i="25" l="1"/>
  <c r="G13" i="25" s="1"/>
  <c r="D13" i="25" s="1"/>
  <c r="F12" i="15"/>
  <c r="F12" i="25"/>
  <c r="L8" i="16"/>
  <c r="J33" i="24"/>
  <c r="E33" i="24"/>
  <c r="E9" i="15"/>
  <c r="D9" i="15"/>
  <c r="F21" i="15"/>
  <c r="F20" i="15"/>
  <c r="D20" i="15"/>
  <c r="D10" i="15"/>
  <c r="H10" i="25" l="1"/>
  <c r="E17" i="15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M31" i="8" s="1"/>
  <c r="N31" i="8" s="1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K34" i="8" l="1"/>
  <c r="K37" i="8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M41" i="8" s="1"/>
  <c r="N41" i="8" s="1"/>
  <c r="D23" i="15"/>
  <c r="K41" i="8" l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39" i="16" l="1"/>
  <c r="M10" i="16"/>
  <c r="G43" i="16"/>
  <c r="M14" i="16"/>
  <c r="H43" i="16"/>
  <c r="H49" i="16" s="1"/>
  <c r="L43" i="16"/>
  <c r="L49" i="16" s="1"/>
  <c r="M35" i="16"/>
  <c r="A16" i="11"/>
  <c r="G26" i="25" l="1"/>
  <c r="F10" i="21"/>
  <c r="D21" i="25" s="1"/>
  <c r="E10" i="21"/>
  <c r="D10" i="21"/>
  <c r="C10" i="21"/>
  <c r="B10" i="21"/>
  <c r="H26" i="25" l="1"/>
  <c r="H27" i="25" s="1"/>
  <c r="I26" i="25"/>
  <c r="I27" i="25" s="1"/>
  <c r="D21" i="15"/>
  <c r="G10" i="21"/>
  <c r="G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43" i="16" l="1"/>
  <c r="M43" i="16" s="1"/>
  <c r="G7" i="16"/>
  <c r="M7" i="16" s="1"/>
  <c r="G45" i="16" l="1"/>
  <c r="M45" i="16" s="1"/>
  <c r="I49" i="16"/>
  <c r="N43" i="23" l="1"/>
  <c r="E15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0000000-0006-0000-0300-000001000000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<sst xmlns="http://schemas.openxmlformats.org/spreadsheetml/2006/main" count="1588" uniqueCount="985">
  <si>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</si>
  <si>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</si>
  <si>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</si>
  <si>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</si>
  <si>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</si>
  <si>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</si>
  <si>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</si>
  <si>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</si>
  <si>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</si>
  <si>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</si>
  <si>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</si>
  <si>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</si>
  <si>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</si>
  <si>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</si>
  <si>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</si>
  <si>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</si>
  <si>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</si>
  <si>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</si>
  <si>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</si>
  <si>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</si>
  <si>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</si>
  <si>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</si>
  <si>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</si>
  <si>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</si>
  <si>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</si>
  <si>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</si>
  <si>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</si>
  <si>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</si>
  <si>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</si>
  <si>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</si>
  <si>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</si>
  <si>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</si>
  <si>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</si>
  <si>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</si>
  <si>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</si>
  <si>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</si>
  <si>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</si>
  <si>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</si>
  <si>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</si>
  <si>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</si>
  <si>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</si>
  <si>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</si>
  <si>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</si>
  <si>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</si>
  <si>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</si>
  <si>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</si>
  <si>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</si>
  <si>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</si>
  <si>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</si>
  <si>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</si>
  <si>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</si>
  <si>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</si>
  <si>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</si>
  <si>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</si>
  <si>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</si>
  <si>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</si>
  <si>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</si>
  <si>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</si>
  <si>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</si>
  <si>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</si>
  <si>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</si>
  <si>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</si>
  <si>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</si>
  <si>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</si>
  <si>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</si>
  <si>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</si>
  <si>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</si>
  <si>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</si>
  <si>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</si>
  <si>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</si>
  <si>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</si>
  <si>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</si>
  <si>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</si>
  <si>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</si>
  <si>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</si>
  <si>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</si>
  <si>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</si>
  <si>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</si>
  <si>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</si>
  <si>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</si>
  <si>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</si>
  <si>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</si>
  <si>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</si>
  <si>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</si>
  <si>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</si>
  <si>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</si>
  <si>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</si>
  <si>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</si>
  <si>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</si>
  <si>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</si>
  <si>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</si>
  <si>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</si>
  <si>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</si>
  <si>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</si>
  <si>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</si>
  <si>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</si>
  <si>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</si>
  <si>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</si>
  <si>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</si>
  <si>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</si>
  <si>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</si>
  <si>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</si>
  <si>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</si>
  <si>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</si>
  <si>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</si>
  <si>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</si>
  <si>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</si>
  <si>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</si>
  <si>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</si>
  <si>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</si>
  <si>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</si>
  <si>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</si>
  <si>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</si>
  <si>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</si>
  <si>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</si>
  <si>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</si>
  <si>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</si>
  <si>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</si>
  <si>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</si>
  <si>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</si>
  <si>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</si>
  <si>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</si>
  <si>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</si>
  <si>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</si>
  <si>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</si>
  <si>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</si>
  <si>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</si>
  <si>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</si>
  <si>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</si>
  <si>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</si>
  <si>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</si>
  <si>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</si>
  <si>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</si>
  <si>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</si>
  <si>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</si>
  <si>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</si>
  <si>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</si>
  <si>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</si>
  <si>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</si>
  <si>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</si>
  <si>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</si>
  <si>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</si>
  <si>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</si>
  <si>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</si>
  <si>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</si>
  <si>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</si>
  <si>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</si>
  <si>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</si>
  <si>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</si>
  <si>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</si>
  <si>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</si>
  <si>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</si>
  <si>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</si>
  <si>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</si>
  <si>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</si>
  <si>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</si>
  <si>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</si>
  <si>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</si>
  <si>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</si>
  <si>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</si>
  <si>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</si>
  <si>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</si>
  <si>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</si>
  <si>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</si>
  <si>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</si>
  <si>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</si>
  <si>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</si>
  <si>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</si>
  <si>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</si>
  <si>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</si>
  <si>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</si>
  <si>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</si>
  <si>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</si>
  <si>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</si>
  <si>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</si>
  <si>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</si>
  <si>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</si>
  <si>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</si>
  <si>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</si>
  <si>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</si>
  <si>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</si>
  <si>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</si>
  <si>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</si>
  <si>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</si>
  <si>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</si>
  <si>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</si>
  <si>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</si>
  <si>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</si>
  <si>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</si>
  <si>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</si>
  <si>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</si>
  <si>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</si>
  <si>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</si>
  <si>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</si>
  <si>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</si>
  <si>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</si>
  <si>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</si>
  <si>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</si>
  <si>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</si>
  <si>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</si>
  <si>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</si>
  <si>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</si>
  <si>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</si>
  <si>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</si>
  <si>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</si>
  <si>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</si>
  <si>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</si>
  <si>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</si>
  <si>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</si>
  <si>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</si>
  <si>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</si>
  <si>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</si>
  <si>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</si>
  <si>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</si>
  <si>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</si>
  <si>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</si>
  <si>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</si>
  <si>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</si>
  <si>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</si>
  <si>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</si>
  <si>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</si>
  <si>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</si>
  <si>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</si>
  <si>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</si>
  <si>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</si>
  <si>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</si>
  <si>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</si>
  <si>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</si>
  <si>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</si>
  <si>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</si>
  <si>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</si>
  <si>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</si>
  <si>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</si>
  <si>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</si>
  <si>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</si>
  <si>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</si>
  <si>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</si>
  <si>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</si>
  <si>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</si>
  <si>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</si>
  <si>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</si>
  <si>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</si>
  <si>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</si>
  <si>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</si>
  <si>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</si>
  <si>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</si>
  <si>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</si>
  <si>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</si>
  <si>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</si>
  <si>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</si>
  <si>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</si>
  <si>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</si>
  <si>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</si>
  <si>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</si>
  <si>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</si>
  <si>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</si>
  <si>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</si>
  <si>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</si>
  <si>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</si>
  <si>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</si>
  <si>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</si>
  <si>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</si>
  <si>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</si>
  <si>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</si>
  <si>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</si>
  <si>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</si>
  <si>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</si>
  <si>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</si>
  <si>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</si>
  <si>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</si>
  <si>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</si>
  <si>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</si>
  <si>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</si>
  <si>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</si>
  <si>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</si>
  <si>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</si>
  <si>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</si>
  <si>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</si>
  <si>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</si>
  <si>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</si>
  <si>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</si>
  <si>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</si>
  <si>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</si>
  <si>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</si>
  <si>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</si>
  <si>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</si>
  <si>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</si>
  <si>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</si>
  <si>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</si>
  <si>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</si>
  <si>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</si>
  <si>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</si>
  <si>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</si>
  <si>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</si>
  <si>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</si>
  <si>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</si>
  <si>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</si>
  <si>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</si>
  <si>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</si>
  <si>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</si>
  <si>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</si>
  <si>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</si>
  <si>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</si>
  <si>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</si>
  <si>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</si>
  <si>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</si>
  <si>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</si>
  <si>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</si>
  <si>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</si>
  <si>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</si>
  <si>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</si>
  <si>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</si>
  <si>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</si>
  <si>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</si>
  <si>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</si>
  <si>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</si>
  <si>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</si>
  <si>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</si>
  <si>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</si>
  <si>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</si>
  <si>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</si>
  <si>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</si>
  <si>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</si>
  <si>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</si>
  <si>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</si>
  <si>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</si>
  <si>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</si>
  <si>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</si>
  <si>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</si>
  <si>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</si>
  <si>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</si>
  <si>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</si>
  <si>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</si>
  <si>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</si>
  <si>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</si>
  <si>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</si>
  <si>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</si>
  <si>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</si>
  <si>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</si>
  <si>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</si>
  <si>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</si>
  <si>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</si>
  <si>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</si>
  <si>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</si>
  <si>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</si>
  <si>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</si>
  <si>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</si>
  <si>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</si>
  <si>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</si>
  <si>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</si>
  <si>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</si>
  <si>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</si>
  <si>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</si>
  <si>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</si>
  <si>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</si>
  <si>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</si>
  <si>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</si>
  <si>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</si>
  <si>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</si>
  <si>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</si>
  <si>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</si>
  <si>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</si>
  <si>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</si>
  <si>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</si>
  <si>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</si>
  <si>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</si>
  <si>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</si>
  <si>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</si>
  <si>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</si>
  <si>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</si>
  <si>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</si>
  <si>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</si>
  <si>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</si>
  <si>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</si>
  <si>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</si>
  <si>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</si>
  <si>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</si>
  <si>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</si>
  <si>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</si>
  <si>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</si>
  <si>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</si>
  <si>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</si>
  <si>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</si>
  <si>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</si>
  <si>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</si>
  <si>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</si>
  <si>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</si>
  <si>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</si>
  <si>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</si>
  <si>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</si>
  <si>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</si>
  <si>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</si>
  <si>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</si>
  <si>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</si>
  <si>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</si>
  <si>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</si>
  <si>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</si>
  <si>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</si>
  <si>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</si>
  <si>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</si>
  <si>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</si>
  <si>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</si>
  <si>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</si>
  <si>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</si>
  <si>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</si>
  <si>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</si>
  <si>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</si>
  <si>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</si>
  <si>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</si>
  <si>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</si>
  <si>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</si>
  <si>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</si>
  <si>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</si>
  <si>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</si>
  <si>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</si>
  <si>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</si>
  <si>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</si>
  <si>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</si>
  <si>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</si>
  <si>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</si>
  <si>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</si>
  <si>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</si>
  <si>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</si>
  <si>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</si>
  <si>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</si>
  <si>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</si>
  <si>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</si>
  <si>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</si>
  <si>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</si>
  <si>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</si>
  <si>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</si>
  <si>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</si>
  <si>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</si>
  <si>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</si>
  <si>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</si>
  <si>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</si>
  <si>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</si>
  <si>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</si>
  <si>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</si>
  <si>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</si>
  <si>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</si>
  <si>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</si>
  <si>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</si>
  <si>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</si>
  <si>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</si>
  <si>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</si>
  <si>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</si>
  <si>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</si>
  <si>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</si>
  <si>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</si>
  <si>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</si>
  <si>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</si>
  <si>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</si>
  <si>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</si>
  <si>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</si>
  <si>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</si>
  <si>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</si>
  <si>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</si>
  <si>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</si>
  <si>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</si>
  <si>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</si>
  <si>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</si>
  <si>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</si>
  <si>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</si>
  <si>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</si>
  <si>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</si>
  <si>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</si>
  <si>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</si>
  <si>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</si>
  <si>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</si>
  <si>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</si>
  <si>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</si>
  <si>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</si>
  <si>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因預期外的一般捐贈所致。</t>
    <phoneticPr fontId="10" type="noConversion"/>
  </si>
  <si>
    <t>差異未超過20%</t>
  </si>
  <si>
    <t>差異超過20%，原因及改進意見：</t>
  </si>
  <si>
    <t>因114學年度國民小學一般智能資優鑑定初選報名費提前收取。</t>
    <phoneticPr fontId="10" type="noConversion"/>
  </si>
  <si>
    <t>1.其他設備：</t>
    <phoneticPr fontId="10" type="noConversion"/>
  </si>
  <si>
    <t>業務單位尚未提出需求。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</si>
  <si>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</si>
  <si>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</si>
  <si>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</si>
  <si>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三、</t>
    <phoneticPr fontId="10" type="noConversion"/>
  </si>
  <si>
    <t>各帳戶對帳單餘額經核無誤，回單用印後送還臺灣銀行彰化分行，餘陳閱後存查。</t>
    <phoneticPr fontId="10" type="noConversion"/>
  </si>
  <si>
    <t>已至網銀列印當月明細表並核對餘額正確，併入當月會計報告。</t>
    <phoneticPr fontId="10" type="noConversion"/>
  </si>
  <si>
    <t>收回正式專任輔導教師(楊珮琪)113年8-9月機關負擔退撫基金。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</si>
  <si>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</si>
  <si>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</si>
  <si>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</si>
  <si>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</si>
  <si>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</si>
  <si>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</si>
  <si>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</si>
  <si>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</si>
  <si>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</si>
  <si>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</si>
  <si>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</si>
  <si>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</si>
  <si>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</si>
  <si>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</si>
  <si>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</si>
  <si>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</si>
  <si>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</si>
  <si>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</si>
  <si>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</si>
  <si>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</si>
  <si>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</si>
  <si>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</si>
  <si>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</si>
  <si>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</si>
  <si>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</si>
  <si>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</si>
  <si>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</si>
  <si>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</si>
  <si>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</si>
  <si>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</si>
  <si>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</si>
  <si>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</si>
  <si>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</si>
  <si>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</si>
  <si>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</si>
  <si>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</si>
  <si>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</si>
  <si>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</si>
  <si>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</si>
  <si>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</si>
  <si>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</si>
  <si>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</si>
  <si>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</si>
  <si>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</si>
  <si>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</si>
  <si>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</si>
  <si>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</si>
  <si>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</si>
  <si>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</si>
  <si>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</si>
  <si>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</si>
  <si>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</si>
  <si>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</si>
  <si>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</si>
  <si>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</si>
  <si>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</si>
  <si>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</si>
  <si>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</si>
  <si>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</si>
  <si>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</si>
  <si>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</si>
  <si>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</si>
  <si>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</si>
  <si>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</si>
  <si>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28</t>
  </si>
  <si>
    <t>什項負債</t>
  </si>
  <si>
    <t>2801</t>
  </si>
  <si>
    <t>存入保證金</t>
  </si>
  <si>
    <t>280104</t>
  </si>
  <si>
    <t>應付退休及離職金</t>
  </si>
  <si>
    <t>280106</t>
  </si>
  <si>
    <t>淨資產</t>
  </si>
  <si>
    <t>3</t>
  </si>
  <si>
    <t>31</t>
  </si>
  <si>
    <t>3101</t>
  </si>
  <si>
    <t>累積餘額</t>
  </si>
  <si>
    <t>310101</t>
  </si>
  <si>
    <t>本期短絀</t>
  </si>
  <si>
    <t>310103</t>
  </si>
  <si>
    <t>淨資產調整數</t>
  </si>
  <si>
    <t>310104</t>
  </si>
  <si>
    <t>用人費用</t>
  </si>
  <si>
    <t>-50.86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</si>
  <si>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</si>
  <si>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</si>
  <si>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</si>
  <si>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</si>
  <si>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</si>
  <si>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</si>
  <si>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</si>
  <si>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</si>
  <si>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</si>
  <si>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</si>
  <si>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</si>
  <si>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</si>
  <si>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</si>
  <si>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</si>
  <si>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</si>
  <si>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</si>
  <si>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</si>
  <si>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</si>
  <si>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</si>
  <si>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</si>
  <si>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</si>
  <si>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</si>
  <si>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</si>
  <si>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</si>
  <si>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</si>
  <si>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</si>
  <si>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</si>
  <si>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</si>
  <si>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-60.66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</si>
  <si>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</si>
  <si>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</si>
  <si>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</si>
  <si>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</si>
  <si>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</si>
  <si>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</si>
  <si>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</si>
  <si>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</si>
  <si>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</si>
  <si>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</si>
  <si>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</si>
  <si>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</si>
  <si>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</si>
  <si>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</si>
  <si>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</si>
  <si>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</si>
  <si>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</si>
  <si>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</si>
  <si>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</si>
  <si>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</si>
  <si>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</si>
  <si>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</si>
  <si>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</si>
  <si>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</si>
  <si>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</si>
  <si>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</si>
  <si>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</si>
  <si>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</si>
  <si>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</si>
  <si>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</si>
  <si>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</si>
  <si>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</si>
  <si>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</si>
  <si>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</si>
  <si>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</si>
  <si>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</si>
  <si>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</si>
  <si>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</si>
  <si>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</si>
  <si>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</si>
  <si>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</si>
  <si>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</si>
  <si>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</si>
  <si>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</si>
  <si>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28Y</t>
  </si>
  <si>
    <t>其他專業服務費</t>
  </si>
  <si>
    <t>29</t>
  </si>
  <si>
    <t>公共關係費</t>
  </si>
  <si>
    <t>291</t>
  </si>
  <si>
    <t>材料及用品費</t>
  </si>
  <si>
    <t>-67.29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</si>
  <si>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</si>
  <si>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</si>
  <si>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</si>
  <si>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</si>
  <si>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</si>
  <si>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</si>
  <si>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</si>
  <si>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</si>
  <si>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</si>
  <si>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</si>
  <si>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</si>
  <si>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</si>
  <si>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</si>
  <si>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</si>
  <si>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-100.00</t>
  </si>
  <si>
    <t>5</t>
  </si>
  <si>
    <t>購建固定資產、無形資產、非理財目的之長期投資及營舍與設施工程支出</t>
  </si>
  <si>
    <t>51</t>
  </si>
  <si>
    <t>購建固定資產</t>
  </si>
  <si>
    <t>514</t>
  </si>
  <si>
    <t>購置機械及設備</t>
  </si>
  <si>
    <t>516</t>
  </si>
  <si>
    <t>購置雜項設備</t>
  </si>
  <si>
    <t>7</t>
  </si>
  <si>
    <t>會費、捐助、補助、分攤、照護、救濟與交流活動費</t>
  </si>
  <si>
    <t>-63.15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</si>
  <si>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</si>
  <si>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</si>
  <si>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</si>
  <si>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</si>
  <si>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</si>
  <si>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</si>
  <si>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</si>
  <si>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</si>
  <si>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</si>
  <si>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</si>
  <si>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</si>
  <si>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</si>
  <si>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</si>
  <si>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-75.05</t>
  </si>
  <si>
    <t>91</t>
  </si>
  <si>
    <t>其他支出</t>
  </si>
  <si>
    <t>91Y</t>
  </si>
  <si>
    <t>合       計</t>
  </si>
  <si>
    <t>-51.29</t>
  </si>
  <si>
    <t>11453012280030100</t>
  </si>
  <si>
    <t>地方教育發展基金</t>
  </si>
  <si>
    <t>上期結餘</t>
  </si>
  <si>
    <t>114/05/01</t>
  </si>
  <si>
    <t>支付數</t>
  </si>
  <si>
    <t>0500187</t>
  </si>
  <si>
    <t>114/05/06</t>
  </si>
  <si>
    <t>0501144</t>
  </si>
  <si>
    <t>114/05/13</t>
  </si>
  <si>
    <t>0502591</t>
  </si>
  <si>
    <t>114/05/15</t>
  </si>
  <si>
    <t>0503112</t>
  </si>
  <si>
    <t>0503113</t>
  </si>
  <si>
    <t>114/05/16</t>
  </si>
  <si>
    <t>0503264</t>
  </si>
  <si>
    <t>114/05/19</t>
  </si>
  <si>
    <t>0503546</t>
  </si>
  <si>
    <t>114/05/20</t>
  </si>
  <si>
    <t>0503689</t>
  </si>
  <si>
    <t>114/05/22</t>
  </si>
  <si>
    <t>0504297</t>
  </si>
  <si>
    <t>114/05/23</t>
  </si>
  <si>
    <t>0504428</t>
  </si>
  <si>
    <t>0504429</t>
  </si>
  <si>
    <t>114/05/26</t>
  </si>
  <si>
    <t>0504746</t>
  </si>
  <si>
    <t>0504747</t>
  </si>
  <si>
    <t>114/05/28</t>
  </si>
  <si>
    <t>0500096</t>
  </si>
  <si>
    <t>支出收回</t>
  </si>
  <si>
    <t>114/05/29</t>
  </si>
  <si>
    <t>0504849</t>
  </si>
  <si>
    <t>0504850</t>
  </si>
  <si>
    <t>小計</t>
  </si>
  <si>
    <t>總和 :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</si>
  <si>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</si>
  <si>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</si>
  <si>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</si>
  <si>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</si>
  <si>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</si>
  <si>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</si>
  <si>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</si>
  <si>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</si>
  <si>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</si>
  <si>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</si>
  <si>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</si>
  <si>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</si>
  <si>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</si>
  <si>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</si>
  <si>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</si>
  <si>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</si>
  <si>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</si>
  <si>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</si>
  <si>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</si>
  <si>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</si>
  <si>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</si>
  <si>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</si>
  <si>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</si>
  <si>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</si>
  <si>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</si>
  <si>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Y11401  存入保證金-履約保證金--m11402英語國際村計畫-熱點影像科技(有)</t>
  </si>
  <si>
    <t>P00002  應付代收款-其他項目-教職員午餐費</t>
  </si>
  <si>
    <t>P00001  應付代收款-其他項目-其他</t>
  </si>
  <si>
    <t>NA0008  應付代收款-繳庫項目-拾金不昧</t>
  </si>
  <si>
    <t>NA0007  應付代收款-繳庫項目-一般捐贈</t>
  </si>
  <si>
    <t>NA0003  應付代收款-繳庫項目-招標文件費</t>
  </si>
  <si>
    <t>NA0001  應付代收款-繳庫項目-場地設施使用費</t>
  </si>
  <si>
    <t>MB0007  應付代收款-指定用途捐款-師生活動費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</si>
  <si>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</si>
  <si>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</si>
  <si>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</si>
  <si>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</si>
  <si>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</si>
  <si>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</si>
  <si>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</si>
  <si>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</si>
  <si>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</si>
  <si>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</si>
  <si>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</si>
  <si>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</si>
  <si>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</si>
  <si>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</si>
  <si>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</si>
  <si>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</si>
  <si>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</si>
  <si>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</si>
  <si>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</si>
  <si>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</si>
  <si>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</si>
  <si>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</si>
  <si>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</si>
  <si>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</si>
  <si>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IE0000  應付代收款-各項補助經費-英資中心</t>
  </si>
  <si>
    <t>ID0008  應付代收款-各項補助經費-總務處-公立國中小學班班有冷氣電費及維護費經費</t>
  </si>
  <si>
    <t>ID0007  應付代收款-國有土地被占用之使用補償金</t>
  </si>
  <si>
    <t>ID0005  應付代收款-各項補助經費-總務處-教育部非營利幼兒園業務經費</t>
  </si>
  <si>
    <t>ID0000  應付代收款-各項補助經費-總務處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</si>
  <si>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</si>
  <si>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</si>
  <si>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</si>
  <si>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</si>
  <si>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</si>
  <si>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</si>
  <si>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</si>
  <si>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</si>
  <si>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IA0005  應付代收款-各項補助經費-教務處-教專認證增能計畫預撥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</si>
  <si>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</si>
  <si>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</si>
  <si>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</si>
  <si>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</si>
  <si>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G00025  應付代收款-社團活動-街舞社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</si>
  <si>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</si>
  <si>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</si>
  <si>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</si>
  <si>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</si>
  <si>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</si>
  <si>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G00011  應付代收款-社團活動-兒童電腦程式設計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</si>
  <si>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</si>
  <si>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</si>
  <si>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</si>
  <si>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</si>
  <si>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</si>
  <si>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</si>
  <si>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</si>
  <si>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</si>
  <si>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</si>
  <si>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</si>
  <si>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</si>
  <si>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</si>
  <si>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</si>
  <si>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</si>
  <si>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</si>
  <si>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</si>
  <si>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</si>
  <si>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</si>
  <si>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</si>
  <si>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</si>
  <si>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</si>
  <si>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</si>
  <si>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</si>
  <si>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</si>
  <si>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</si>
  <si>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</si>
  <si>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</si>
  <si>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</si>
  <si>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</si>
  <si>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</si>
  <si>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</si>
  <si>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</si>
  <si>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</si>
  <si>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</si>
  <si>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</si>
  <si>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</si>
  <si>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</si>
  <si>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</si>
  <si>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</si>
  <si>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</si>
  <si>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</si>
  <si>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</si>
  <si>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中華民國114年1月1日至114年5月31日</t>
  </si>
  <si>
    <t>代收代辦經費收支餘額表</t>
  </si>
  <si>
    <t>彰化縣地方教育發展基金－彰化縣彰化市民生國民小學</t>
  </si>
  <si>
    <t>122-1</t>
  </si>
  <si>
    <t>122-3</t>
  </si>
  <si>
    <t>註：A開頭為付款憑單、E開頭為支出收回書、H開頭為收入傳票、I開頭為支出傳票、J開頭為轉帳傳票。</t>
  </si>
  <si>
    <t>貸</t>
  </si>
  <si>
    <t>截至本月底止累計數</t>
  </si>
  <si>
    <t>本月合計</t>
  </si>
  <si>
    <t>收6月教職員薪資代扣款</t>
  </si>
  <si>
    <t>H00156</t>
  </si>
  <si>
    <t>05</t>
  </si>
  <si>
    <t>支114年4月份勞保費代扣自付</t>
  </si>
  <si>
    <t>I00226</t>
  </si>
  <si>
    <t>收5月外師、約用護理師與身障臨時雇員薪資代收款1053+955+537</t>
  </si>
  <si>
    <t>H00150</t>
  </si>
  <si>
    <t>26</t>
  </si>
  <si>
    <t>轉各項代辦人員114年6月薪資代扣款-自付勞保(6月：代理輔導1050英資3150體操教練1145；5月： 特教助理795校安人員715)</t>
  </si>
  <si>
    <t>J00105</t>
  </si>
  <si>
    <t>114年2-3月臨時代課教師勞保自付款-蘇雅寧</t>
  </si>
  <si>
    <t>H00136</t>
  </si>
  <si>
    <t>09</t>
  </si>
  <si>
    <t>114年2-3月臨時代課教師勞保自付款-廖瑞婉</t>
  </si>
  <si>
    <t>114年2-3月臨時代課教師勞保自付款-葉紋菊</t>
  </si>
  <si>
    <t>114年2-3月臨時代課教師勞保自付款-胡恬毓</t>
  </si>
  <si>
    <t>114年2-3月臨時代課教師勞保自付款-林曉菁</t>
  </si>
  <si>
    <t>收1-3月兼代課鐘點費代扣款</t>
  </si>
  <si>
    <t>H00124</t>
  </si>
  <si>
    <t>02</t>
  </si>
  <si>
    <t>收114年5月教職員薪資代扣款</t>
  </si>
  <si>
    <t>H00121</t>
  </si>
  <si>
    <t>30</t>
  </si>
  <si>
    <t>04</t>
  </si>
  <si>
    <t>支114年3月份勞保費代扣自付</t>
  </si>
  <si>
    <t>I00182</t>
  </si>
  <si>
    <t>收4月外師、約用護理師與身障臨時雇員薪資代收款1053+955+537</t>
  </si>
  <si>
    <t>H00116</t>
  </si>
  <si>
    <t>借或貸</t>
  </si>
  <si>
    <t>貸方</t>
  </si>
  <si>
    <t>借方</t>
  </si>
  <si>
    <t>日</t>
  </si>
  <si>
    <t>月</t>
  </si>
  <si>
    <t>摘　　　　　　　　　　　　　　　　　　　　　　　　　　　　　　　要</t>
  </si>
  <si>
    <t>金　　　　　　　　　　　　　　　　額</t>
  </si>
  <si>
    <t>付款憑單
或
傳票號數</t>
  </si>
  <si>
    <t>114年</t>
  </si>
  <si>
    <t xml:space="preserve"> </t>
  </si>
  <si>
    <t>2123 應付代收款明細分類帳</t>
  </si>
  <si>
    <t>中華民國114年度</t>
  </si>
  <si>
    <t>彰化縣地方教育發展基金─彰化縣彰化市民生國民小學</t>
  </si>
  <si>
    <t>轉各項代辦人員114年5月薪資代扣款-自付勞保(5月：代理輔導1050英資3150體操教練1145；4月： 特教助理795校安人員715)</t>
  </si>
  <si>
    <t>J00073</t>
  </si>
  <si>
    <t>轉113學年度學習扶助實施方案寒假開班-鐘點費自付保費</t>
  </si>
  <si>
    <t>J00070</t>
  </si>
  <si>
    <t>17</t>
  </si>
  <si>
    <t>轉113學年度學習扶助實施方案寒假開班-鐘點費機補保費</t>
  </si>
  <si>
    <t>支114年2月份勞保費代扣自付</t>
  </si>
  <si>
    <t>I00135</t>
  </si>
  <si>
    <t>01</t>
  </si>
  <si>
    <t>收114年4月教職員薪資代扣款</t>
  </si>
  <si>
    <t>H00085</t>
  </si>
  <si>
    <t>03</t>
  </si>
  <si>
    <t>收3月外師、約用護理師與身障臨時雇員薪資代收款1053+955+537</t>
  </si>
  <si>
    <t>H00083</t>
  </si>
  <si>
    <t>轉各項代辦人員114年4月薪資代扣款-自付勞保(4月：代理輔導1050英資3150體操教練1145；3月： 特教助理795校安人員715)</t>
  </si>
  <si>
    <t>J00054</t>
  </si>
  <si>
    <t>收113年8月至114年1月臨時代理教師勞保自付款-廖瑞婉</t>
  </si>
  <si>
    <t>H00057</t>
  </si>
  <si>
    <t>10</t>
  </si>
  <si>
    <t>收113年8月至114年1月臨時代理教師勞保自付款-林筱菁</t>
  </si>
  <si>
    <t>收113年8月至114年1月臨時代理教師勞保自付款-胡恬毓</t>
  </si>
  <si>
    <t>收113年8月至114年1月臨時代理教師勞保自付款-黃如穗</t>
  </si>
  <si>
    <t>收113年8月至114年1月臨時代理教師勞保自付款-葉函儒</t>
  </si>
  <si>
    <t>收113年8月至114年1月臨時代理教師勞保自付款-許潔華</t>
  </si>
  <si>
    <t>收113年8月至114年1月臨時代理教師勞保自付款-王聖惠</t>
  </si>
  <si>
    <t>收113年8月至114年1月臨時代理教師勞保自付款-黃芊晰</t>
  </si>
  <si>
    <t>收113年8月至114年1月臨時代理教師勞保自付款-林茂松</t>
  </si>
  <si>
    <t>收114年3月教職員薪資代扣款</t>
  </si>
  <si>
    <t>H00045</t>
  </si>
  <si>
    <t>支114年1月份勞保費代扣自付</t>
  </si>
  <si>
    <t>I00091</t>
  </si>
  <si>
    <t>收2月外師、約用護理師與身障臨時雇員薪資代收款1053+955+537</t>
  </si>
  <si>
    <t>H00042</t>
  </si>
  <si>
    <t>轉各項代辦人員114年3月薪資代扣款-自付勞保(3月：代理輔導1050英資3150體操教練1145；2月： 特教助理795校安人員715)</t>
  </si>
  <si>
    <t>J00036</t>
  </si>
  <si>
    <t>收1月外師、約用護理師與身障臨時雇員薪資代收款1053+955+537</t>
  </si>
  <si>
    <t>H00024</t>
  </si>
  <si>
    <t>收114年2月教職員薪資代扣款</t>
  </si>
  <si>
    <t>H00023</t>
  </si>
  <si>
    <t>轉各項代辦人員114年2月薪資代扣款-自付勞保(2月：代理輔導1050英資3150體操教練1145+45；1月： 特教助理795校安人員715)</t>
  </si>
  <si>
    <t>J00016</t>
  </si>
  <si>
    <t>支113年12月份勞保費代扣自付</t>
  </si>
  <si>
    <t>I00014</t>
  </si>
  <si>
    <t>06</t>
  </si>
  <si>
    <t>支113年11月份勞保費代扣自付</t>
  </si>
  <si>
    <t>收兼代課11-12月勞、健保自付額</t>
  </si>
  <si>
    <t>H00005</t>
  </si>
  <si>
    <t>轉各項代辦人員114年1月薪資代扣款-自付勞保(1月：代理輔導1050英資3150體操教練1100)</t>
  </si>
  <si>
    <t>J00001</t>
  </si>
  <si>
    <t>(上期結轉)</t>
  </si>
  <si>
    <t>*J00000</t>
  </si>
  <si>
    <t>勞保</t>
    <phoneticPr fontId="10" type="noConversion"/>
  </si>
  <si>
    <t>不足，因代課鐘點費代扣自付款未收</t>
    <phoneticPr fontId="10" type="noConversion"/>
  </si>
  <si>
    <t>支114年4月份健保費代扣自付</t>
  </si>
  <si>
    <t>收5月約用護理師與身障臨時雇員薪資代扣款1428+2368+332</t>
  </si>
  <si>
    <t>轉各項代辦人員114年6月薪資代扣款-自付健保(6月：專任輔導2166代理輔導1302英資1953體操943；5月： 特教助理493校安人員443)</t>
  </si>
  <si>
    <t>支114年3月份健保費代扣自付</t>
  </si>
  <si>
    <t>收4月約用護理師與身障臨時雇員薪資代扣款1428+(2368+592*4)+332</t>
  </si>
  <si>
    <t>轉各項代辦人員114年5月薪資代扣款-自付健保(5月：專任輔導2166代理輔導1302英資1953體操896；4月： 特教助理493校安人員443)</t>
  </si>
  <si>
    <t>支114年2月份健保費代扣自付</t>
  </si>
  <si>
    <t>收3月約用護理師與身障臨時雇員薪資代扣款1428+1776+332</t>
  </si>
  <si>
    <t>轉各項代辦人員114年4月薪資代扣款-自付健保(4月：專任輔導2166代理輔導1302英資1953體操896；3月： 特教助理493校安人員443)</t>
  </si>
  <si>
    <t>支114年1月份健保費代扣自付</t>
  </si>
  <si>
    <t>收2月約用護理師與身障臨時雇員薪資代扣款1428+1776+332</t>
  </si>
  <si>
    <t>轉各項代辦人員114年3月薪資代扣款-自付健保(3月：專任輔導2166代理輔導1302英資1953體操896；2月： 特教助理493校安人員443)</t>
  </si>
  <si>
    <t>退還楊淑閔幹事114年3月健保自付額(含1口眷口，3/18因退休轉出)</t>
  </si>
  <si>
    <t>I00083</t>
  </si>
  <si>
    <t>收回陳忠正教師114年2月薪資(114/2/1退休)-健保自付額</t>
  </si>
  <si>
    <t>I00076</t>
  </si>
  <si>
    <t>收1月約用護理師與身障臨時雇員薪資代扣款1428+1776+332</t>
  </si>
  <si>
    <t>更正114/1/13#10支出傳票子目-退還袁校長桂榮(已退休)113年11-12月健保費自付額</t>
  </si>
  <si>
    <t>J00028</t>
  </si>
  <si>
    <t>轉各項代辦人員114年2月薪資代扣款-自付健保(2月：專任輔導0代理輔導1302英資1953體操896；1月： 特教助理493校安人員443)</t>
  </si>
  <si>
    <t>支113年12月份健保費代扣自付</t>
  </si>
  <si>
    <t>支113年11月份健保費代扣自付</t>
  </si>
  <si>
    <t>轉113年12月課後照顧鐘點費保費-自付健保</t>
  </si>
  <si>
    <t>J00005</t>
  </si>
  <si>
    <t>轉各項代辦人員114年1月薪資代扣款-自付健保(1月：專任輔導3249代理輔導1302英資1953體操896)</t>
  </si>
  <si>
    <t>有餘，且代課鐘點費代扣自付款未收</t>
    <phoneticPr fontId="10" type="noConversion"/>
  </si>
  <si>
    <t>書籍費</t>
    <phoneticPr fontId="10" type="noConversion"/>
  </si>
  <si>
    <t>0500186</t>
  </si>
  <si>
    <t>收入數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</si>
</sst>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28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b/>
      <sz val="12"/>
      <color rgb="FFFF0000"/>
      <name val="ARIAL"/>
      <family val="2"/>
    </font>
    <font>
      <sz val="12"/>
      <color rgb="FF000000"/>
      <name val="細明體"/>
      <family val="2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0.5"/>
      <name val="新細明體"/>
      <family val="1"/>
      <charset val="136"/>
    </font>
    <font>
      <b/>
      <sz val="10"/>
      <color indexed="8"/>
      <name val="ARIAL"/>
      <family val="2"/>
    </font>
    <font>
      <b/>
      <sz val="11"/>
      <color indexed="8"/>
      <name val="新細明體"/>
      <family val="1"/>
      <charset val="136"/>
    </font>
    <font>
      <b/>
      <sz val="9"/>
      <color indexed="8"/>
      <name val="新細明體"/>
      <family val="1"/>
      <charset val="136"/>
    </font>
    <font>
      <b/>
      <sz val="9"/>
      <name val="新細明體"/>
      <family val="1"/>
      <charset val="136"/>
    </font>
    <font>
      <b/>
      <sz val="10"/>
      <name val="ARIAL"/>
      <family val="2"/>
    </font>
    <font>
      <sz val="10.5"/>
      <color rgb="FFFF0000"/>
      <name val="新細明體"/>
      <family val="1"/>
      <charset val="136"/>
    </font>
    <font>
      <b/>
      <sz val="9"/>
      <color rgb="FFFF0000"/>
      <name val="新細明體"/>
      <family val="1"/>
      <charset val="136"/>
    </font>
    <font>
      <b/>
      <sz val="14"/>
      <color indexed="8"/>
      <name val="標楷體"/>
      <family val="4"/>
      <charset val="136"/>
    </font>
    <font>
      <sz val="11"/>
      <color indexed="10"/>
      <name val="新細明體"/>
      <family val="1"/>
      <charset val="136"/>
    </font>
    <font>
      <sz val="11"/>
      <color indexed="10"/>
      <name val="標楷體"/>
      <family val="4"/>
      <charset val="136"/>
    </font>
    <font>
      <b/>
      <sz val="10"/>
      <color rgb="FFFF0000"/>
      <name val="細明體"/>
      <family val="3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8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56" fillId="0" borderId="0"/>
  </cellStyleXfs>
  <cellXfs count="905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88" fillId="0" borderId="0" xfId="7" applyNumberFormat="1" applyFont="1" applyFill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177" fontId="8" fillId="11" borderId="5" xfId="7" applyNumberFormat="1" applyFont="1" applyFill="1" applyBorder="1">
      <alignment vertical="top"/>
    </xf>
    <xf numFmtId="3" fontId="17" fillId="11" borderId="4" xfId="0" applyNumberFormat="1" applyFont="1" applyFill="1" applyBorder="1" applyAlignment="1">
      <alignment horizontal="right" vertical="top" wrapText="1"/>
    </xf>
    <xf numFmtId="3" fontId="17" fillId="11" borderId="3" xfId="0" applyNumberFormat="1" applyFont="1" applyFill="1" applyBorder="1" applyAlignment="1">
      <alignment horizontal="right" vertical="top" wrapText="1"/>
    </xf>
    <xf numFmtId="176" fontId="8" fillId="11" borderId="5" xfId="7" applyNumberFormat="1" applyFont="1" applyFill="1" applyBorder="1" applyAlignment="1">
      <alignment horizontal="right" vertical="top"/>
    </xf>
    <xf numFmtId="3" fontId="8" fillId="11" borderId="4" xfId="0" applyNumberFormat="1" applyFont="1" applyFill="1" applyBorder="1" applyAlignment="1">
      <alignment horizontal="right" vertical="top"/>
    </xf>
    <xf numFmtId="3" fontId="8" fillId="11" borderId="3" xfId="0" applyNumberFormat="1" applyFont="1" applyFill="1" applyBorder="1" applyAlignment="1">
      <alignment horizontal="right" vertical="top"/>
    </xf>
    <xf numFmtId="176" fontId="8" fillId="11" borderId="3" xfId="0" applyNumberFormat="1" applyFont="1" applyFill="1" applyBorder="1" applyAlignment="1">
      <alignment horizontal="right" vertical="top"/>
    </xf>
    <xf numFmtId="177" fontId="0" fillId="11" borderId="0" xfId="7" applyNumberFormat="1" applyFont="1" applyFill="1">
      <alignment vertical="top"/>
    </xf>
    <xf numFmtId="0" fontId="8" fillId="11" borderId="6" xfId="0" applyFont="1" applyFill="1" applyBorder="1" applyAlignment="1">
      <alignment horizontal="left" vertical="top" wrapText="1"/>
    </xf>
    <xf numFmtId="3" fontId="17" fillId="11" borderId="6" xfId="0" applyNumberFormat="1" applyFont="1" applyFill="1" applyBorder="1" applyAlignment="1">
      <alignment horizontal="right" vertical="top" wrapText="1"/>
    </xf>
    <xf numFmtId="3" fontId="17" fillId="11" borderId="0" xfId="0" applyNumberFormat="1" applyFont="1" applyFill="1" applyAlignment="1">
      <alignment horizontal="right" vertical="top" wrapText="1"/>
    </xf>
    <xf numFmtId="176" fontId="8" fillId="11" borderId="7" xfId="7" applyNumberFormat="1" applyFont="1" applyFill="1" applyBorder="1" applyAlignment="1">
      <alignment horizontal="right" vertical="top"/>
    </xf>
    <xf numFmtId="3" fontId="8" fillId="11" borderId="6" xfId="0" applyNumberFormat="1" applyFont="1" applyFill="1" applyBorder="1" applyAlignment="1">
      <alignment horizontal="right" vertical="top"/>
    </xf>
    <xf numFmtId="3" fontId="8" fillId="11" borderId="0" xfId="0" applyNumberFormat="1" applyFont="1" applyFill="1" applyAlignment="1">
      <alignment horizontal="right" vertical="top"/>
    </xf>
    <xf numFmtId="176" fontId="8" fillId="11" borderId="0" xfId="0" applyNumberFormat="1" applyFont="1" applyFill="1" applyAlignment="1">
      <alignment horizontal="righ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11" borderId="6" xfId="0" applyFont="1" applyFill="1" applyBorder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6" xfId="0" applyFill="1" applyBorder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8" fillId="11" borderId="0" xfId="0" applyFont="1" applyFill="1">
      <alignment vertical="top"/>
    </xf>
    <xf numFmtId="177" fontId="8" fillId="11" borderId="0" xfId="7" applyNumberFormat="1" applyFont="1" applyFill="1" applyBorder="1" applyAlignment="1">
      <alignment vertical="top"/>
    </xf>
    <xf numFmtId="177" fontId="8" fillId="11" borderId="7" xfId="7" applyNumberFormat="1" applyFont="1" applyFill="1" applyBorder="1" applyAlignment="1">
      <alignment vertical="top"/>
    </xf>
    <xf numFmtId="0" fontId="0" fillId="11" borderId="0" xfId="0" applyFill="1">
      <alignment vertical="top"/>
    </xf>
    <xf numFmtId="176" fontId="8" fillId="11" borderId="7" xfId="7" applyNumberFormat="1" applyFont="1" applyFill="1" applyBorder="1" applyAlignment="1">
      <alignment vertical="top"/>
    </xf>
    <xf numFmtId="176" fontId="8" fillId="11" borderId="0" xfId="0" applyNumberFormat="1" applyFont="1" applyFill="1">
      <alignment vertical="top"/>
    </xf>
    <xf numFmtId="177" fontId="0" fillId="11" borderId="7" xfId="7" applyNumberFormat="1" applyFont="1" applyFill="1" applyBorder="1" applyAlignment="1">
      <alignment vertical="top"/>
    </xf>
    <xf numFmtId="0" fontId="8" fillId="11" borderId="0" xfId="0" applyFont="1" applyFill="1" applyAlignment="1">
      <alignment horizontal="left" vertical="top"/>
    </xf>
    <xf numFmtId="177" fontId="8" fillId="11" borderId="0" xfId="7" applyNumberFormat="1" applyFont="1" applyFill="1" applyBorder="1" applyAlignment="1">
      <alignment horizontal="left" vertical="top"/>
    </xf>
    <xf numFmtId="177" fontId="8" fillId="11" borderId="7" xfId="7" applyNumberFormat="1" applyFont="1" applyFill="1" applyBorder="1" applyAlignment="1">
      <alignment horizontal="left"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76" fontId="106" fillId="0" borderId="3" xfId="0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80" fontId="89" fillId="0" borderId="0" xfId="7" applyNumberFormat="1" applyFont="1">
      <alignment vertical="top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177" fontId="110" fillId="4" borderId="0" xfId="7" applyNumberFormat="1" applyFont="1" applyFill="1">
      <alignment vertical="top"/>
    </xf>
    <xf numFmtId="0" fontId="111" fillId="0" borderId="0" xfId="0" applyFont="1">
      <alignment vertical="top"/>
    </xf>
    <xf numFmtId="0" fontId="0" fillId="0" borderId="0" xfId="0">
      <alignment vertical="top"/>
    </xf>
    <xf numFmtId="0" fontId="7" fillId="0" borderId="0" xfId="0" applyFont="1" applyAlignment="1"/>
    <xf numFmtId="0" fontId="67" fillId="0" borderId="0" xfId="0" applyFont="1">
      <alignment vertical="top"/>
    </xf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2" fontId="0" fillId="0" borderId="0" xfId="0" applyNumberFormat="1">
      <alignment vertical="top"/>
    </xf>
    <xf numFmtId="0" fontId="57" fillId="0" borderId="0" xfId="17" applyFont="1" applyBorder="1" applyAlignment="1">
      <alignment vertical="top" wrapText="1"/>
    </xf>
    <xf numFmtId="3" fontId="112" fillId="0" borderId="0" xfId="0" applyNumberFormat="1" applyFont="1" applyAlignment="1">
      <alignment horizontal="right" vertical="top"/>
    </xf>
    <xf numFmtId="0" fontId="113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75" fillId="14" borderId="0" xfId="0" applyFont="1" applyFill="1">
      <alignment vertical="top"/>
    </xf>
    <xf numFmtId="3" fontId="116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117" fillId="0" borderId="0" xfId="0" applyFont="1">
      <alignment vertical="top"/>
    </xf>
    <xf numFmtId="0" fontId="117" fillId="13" borderId="0" xfId="0" applyFont="1" applyFill="1">
      <alignment vertical="top"/>
    </xf>
    <xf numFmtId="0" fontId="121" fillId="14" borderId="0" xfId="0" applyFont="1" applyFill="1">
      <alignment vertical="top"/>
    </xf>
    <xf numFmtId="0" fontId="117" fillId="15" borderId="0" xfId="0" applyFont="1" applyFill="1">
      <alignment vertical="top"/>
    </xf>
    <xf numFmtId="0" fontId="117" fillId="16" borderId="0" xfId="0" applyFon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0" fontId="117" fillId="17" borderId="0" xfId="0" applyFont="1" applyFill="1">
      <alignment vertical="top"/>
    </xf>
    <xf numFmtId="177" fontId="117" fillId="0" borderId="0" xfId="7" applyNumberFormat="1" applyFont="1">
      <alignment vertical="top"/>
    </xf>
    <xf numFmtId="177" fontId="117" fillId="13" borderId="0" xfId="7" applyNumberFormat="1" applyFont="1" applyFill="1">
      <alignment vertical="top"/>
    </xf>
    <xf numFmtId="177" fontId="121" fillId="14" borderId="0" xfId="7" applyNumberFormat="1" applyFont="1" applyFill="1">
      <alignment vertical="top"/>
    </xf>
    <xf numFmtId="177" fontId="117" fillId="15" borderId="0" xfId="7" applyNumberFormat="1" applyFont="1" applyFill="1">
      <alignment vertical="top"/>
    </xf>
    <xf numFmtId="177" fontId="117" fillId="16" borderId="0" xfId="7" applyNumberFormat="1" applyFont="1" applyFill="1">
      <alignment vertical="top"/>
    </xf>
    <xf numFmtId="177" fontId="117" fillId="17" borderId="0" xfId="7" applyNumberFormat="1" applyFont="1" applyFill="1">
      <alignment vertical="top"/>
    </xf>
    <xf numFmtId="3" fontId="122" fillId="0" borderId="0" xfId="0" applyNumberFormat="1" applyFont="1" applyAlignment="1">
      <alignment horizontal="right" vertical="top"/>
    </xf>
    <xf numFmtId="0" fontId="89" fillId="0" borderId="0" xfId="0" applyFont="1">
      <alignment vertical="top"/>
    </xf>
    <xf numFmtId="177" fontId="89" fillId="4" borderId="0" xfId="7" applyNumberFormat="1" applyFont="1" applyFill="1">
      <alignment vertical="top"/>
    </xf>
    <xf numFmtId="3" fontId="115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center" vertical="top"/>
    </xf>
    <xf numFmtId="0" fontId="20" fillId="0" borderId="0" xfId="0" applyFont="1" applyAlignment="1">
      <alignment horizontal="left" vertical="top" wrapText="1" readingOrder="1"/>
    </xf>
    <xf numFmtId="0" fontId="20" fillId="0" borderId="0" xfId="0" applyFont="1" applyAlignment="1">
      <alignment horizontal="left" vertical="top" wrapText="1"/>
    </xf>
    <xf numFmtId="0" fontId="11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 readingOrder="1"/>
    </xf>
    <xf numFmtId="3" fontId="125" fillId="0" borderId="0" xfId="0" applyNumberFormat="1" applyFont="1" applyAlignment="1">
      <alignment horizontal="right" vertical="top"/>
    </xf>
    <xf numFmtId="0" fontId="126" fillId="0" borderId="0" xfId="0" applyFont="1" applyAlignment="1">
      <alignment horizontal="center" vertical="top"/>
    </xf>
    <xf numFmtId="0" fontId="126" fillId="0" borderId="0" xfId="0" applyFont="1" applyAlignment="1">
      <alignment horizontal="left" vertical="top" wrapText="1"/>
    </xf>
    <xf numFmtId="0" fontId="125" fillId="0" borderId="0" xfId="0" applyFont="1" applyAlignment="1">
      <alignment horizontal="center" vertical="top"/>
    </xf>
    <xf numFmtId="0" fontId="118" fillId="0" borderId="0" xfId="0" applyFont="1" applyAlignment="1">
      <alignment horizontal="center" vertical="top"/>
    </xf>
    <xf numFmtId="0" fontId="73" fillId="0" borderId="0" xfId="0" applyFont="1" applyAlignment="1">
      <alignment horizontal="left" vertical="top" wrapText="1"/>
    </xf>
    <xf numFmtId="3" fontId="118" fillId="0" borderId="0" xfId="0" applyNumberFormat="1" applyFont="1" applyAlignment="1">
      <alignment horizontal="right" vertical="top"/>
    </xf>
    <xf numFmtId="0" fontId="73" fillId="0" borderId="0" xfId="0" applyFont="1" applyAlignment="1">
      <alignment horizontal="center" vertical="top"/>
    </xf>
    <xf numFmtId="3" fontId="117" fillId="0" borderId="0" xfId="0" applyNumberFormat="1" applyFont="1">
      <alignment vertical="top"/>
    </xf>
    <xf numFmtId="3" fontId="0" fillId="0" borderId="0" xfId="0" applyNumberFormat="1">
      <alignment vertical="top"/>
    </xf>
    <xf numFmtId="3" fontId="89" fillId="0" borderId="0" xfId="0" applyNumberFormat="1" applyFont="1">
      <alignment vertical="top"/>
    </xf>
    <xf numFmtId="0" fontId="127" fillId="0" borderId="0" xfId="0" applyFont="1" applyAlignment="1">
      <alignment horizontal="right" vertical="top"/>
    </xf>
    <xf numFmtId="177" fontId="117" fillId="0" borderId="0" xfId="0" applyNumberFormat="1" applyFont="1">
      <alignment vertical="top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24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 readingOrder="1"/>
    </xf>
    <xf numFmtId="0" fontId="125" fillId="0" borderId="0" xfId="0" applyFont="1" applyAlignment="1">
      <alignment horizontal="center" vertical="top"/>
    </xf>
    <xf numFmtId="0" fontId="115" fillId="0" borderId="0" xfId="0" applyFont="1" applyAlignment="1">
      <alignment horizontal="center" vertical="top"/>
    </xf>
    <xf numFmtId="0" fontId="20" fillId="0" borderId="0" xfId="0" applyFont="1" applyAlignment="1">
      <alignment horizontal="left" vertical="top" wrapText="1" readingOrder="1"/>
    </xf>
    <xf numFmtId="3" fontId="115" fillId="0" borderId="0" xfId="0" applyNumberFormat="1" applyFont="1" applyAlignment="1">
      <alignment horizontal="right" vertical="top"/>
    </xf>
    <xf numFmtId="0" fontId="11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 readingOrder="1"/>
    </xf>
    <xf numFmtId="0" fontId="3" fillId="0" borderId="0" xfId="0" applyFont="1" applyAlignment="1">
      <alignment horizontal="center" vertical="top"/>
    </xf>
    <xf numFmtId="0" fontId="118" fillId="0" borderId="0" xfId="0" applyFont="1" applyAlignment="1">
      <alignment horizontal="right" vertical="top"/>
    </xf>
    <xf numFmtId="0" fontId="114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119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3" fontId="119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3" fillId="13" borderId="0" xfId="0" applyNumberFormat="1" applyFont="1" applyFill="1" applyAlignment="1">
      <alignment horizontal="right" vertical="top"/>
    </xf>
    <xf numFmtId="3" fontId="119" fillId="13" borderId="0" xfId="0" applyNumberFormat="1" applyFont="1" applyFill="1" applyAlignment="1">
      <alignment horizontal="right" vertical="top"/>
    </xf>
    <xf numFmtId="3" fontId="120" fillId="14" borderId="0" xfId="0" applyNumberFormat="1" applyFont="1" applyFill="1" applyAlignment="1">
      <alignment horizontal="right" vertical="top"/>
    </xf>
    <xf numFmtId="3" fontId="119" fillId="15" borderId="0" xfId="0" applyNumberFormat="1" applyFont="1" applyFill="1" applyAlignment="1">
      <alignment horizontal="right" vertical="top"/>
    </xf>
    <xf numFmtId="3" fontId="119" fillId="16" borderId="0" xfId="0" applyNumberFormat="1" applyFont="1" applyFill="1" applyAlignment="1">
      <alignment horizontal="right" vertical="top"/>
    </xf>
    <xf numFmtId="0" fontId="122" fillId="0" borderId="0" xfId="0" applyFont="1" applyAlignment="1">
      <alignment horizontal="left" vertical="top" wrapText="1" readingOrder="1"/>
    </xf>
    <xf numFmtId="3" fontId="122" fillId="0" borderId="0" xfId="0" applyNumberFormat="1" applyFont="1" applyAlignment="1">
      <alignment horizontal="right" vertical="top"/>
    </xf>
    <xf numFmtId="3" fontId="123" fillId="0" borderId="0" xfId="0" applyNumberFormat="1" applyFont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119" fillId="17" borderId="0" xfId="0" applyNumberFormat="1" applyFont="1" applyFill="1" applyAlignment="1">
      <alignment horizontal="right" vertical="top"/>
    </xf>
    <xf numFmtId="3" fontId="112" fillId="0" borderId="0" xfId="0" applyNumberFormat="1" applyFont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11" borderId="6" xfId="0" applyFont="1" applyFill="1" applyBorder="1" applyAlignment="1">
      <alignment horizontal="left" vertical="top"/>
    </xf>
    <xf numFmtId="0" fontId="8" fillId="11" borderId="0" xfId="0" applyFont="1" applyFill="1" applyAlignment="1">
      <alignment horizontal="left" vertical="top"/>
    </xf>
    <xf numFmtId="0" fontId="8" fillId="11" borderId="7" xfId="0" applyFont="1" applyFill="1" applyBorder="1" applyAlignment="1">
      <alignment horizontal="left" vertical="top"/>
    </xf>
    <xf numFmtId="0" fontId="8" fillId="11" borderId="6" xfId="0" applyFont="1" applyFill="1" applyBorder="1" applyAlignment="1">
      <alignment horizontal="left" vertical="top" readingOrder="1"/>
    </xf>
    <xf numFmtId="0" fontId="8" fillId="11" borderId="0" xfId="0" applyFont="1" applyFill="1" applyAlignment="1">
      <alignment horizontal="left" vertical="top" readingOrder="1"/>
    </xf>
    <xf numFmtId="177" fontId="8" fillId="11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11" borderId="4" xfId="0" applyFont="1" applyFill="1" applyBorder="1" applyAlignment="1">
      <alignment horizontal="left" vertical="top" wrapText="1"/>
    </xf>
    <xf numFmtId="0" fontId="8" fillId="11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2" fillId="0" borderId="3" xfId="6" applyBorder="1"/>
    <xf numFmtId="0" fontId="22" fillId="0" borderId="0" xfId="6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2" fillId="0" borderId="2" xfId="6" applyBorder="1"/>
    <xf numFmtId="0" fontId="22" fillId="0" borderId="13" xfId="6" applyBorder="1"/>
    <xf numFmtId="0" fontId="22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8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 8" xfId="17" xr:uid="{116A56FF-1385-4810-8EC6-7CECE297279C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b/>
        <i/>
        <strike/>
        <color rgb="FFFF0000"/>
      </font>
      <fill>
        <patternFill>
          <bgColor theme="1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4A9762B4-3986-41D1-BEB1-CD6BB18AA5B9}">
      <tableStyleElement type="wholeTable" dxfId="91"/>
      <tableStyleElement type="headerRow" dxfId="9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62</xdr:row>
      <xdr:rowOff>49061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33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41</xdr:row>
      <xdr:rowOff>29534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N13"/>
          <cell r="O13"/>
          <cell r="P13"/>
          <cell r="Q13" t="str">
            <v>2</v>
          </cell>
          <cell r="R13"/>
          <cell r="S13"/>
          <cell r="T13">
            <v>19545323</v>
          </cell>
        </row>
        <row r="14">
          <cell r="N14"/>
          <cell r="O14"/>
          <cell r="P14"/>
          <cell r="Q14" t="str">
            <v>21</v>
          </cell>
          <cell r="R14"/>
          <cell r="S14"/>
          <cell r="T14">
            <v>16486733</v>
          </cell>
        </row>
        <row r="15">
          <cell r="N15"/>
          <cell r="O15"/>
          <cell r="P15"/>
          <cell r="Q15" t="str">
            <v>2102</v>
          </cell>
          <cell r="R15"/>
          <cell r="S15"/>
          <cell r="T15">
            <v>16486733</v>
          </cell>
        </row>
        <row r="16">
          <cell r="N16" t="str">
            <v>應付代收款</v>
          </cell>
          <cell r="O16"/>
          <cell r="P16"/>
          <cell r="Q16" t="str">
            <v>210203</v>
          </cell>
          <cell r="R16"/>
          <cell r="S16"/>
          <cell r="T16">
            <v>16486733</v>
          </cell>
        </row>
        <row r="17">
          <cell r="N17" t="str">
            <v>應付費用</v>
          </cell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N18"/>
          <cell r="O18"/>
          <cell r="P18"/>
          <cell r="Q18" t="str">
            <v>28</v>
          </cell>
          <cell r="R18"/>
          <cell r="S18"/>
          <cell r="T18">
            <v>3058590</v>
          </cell>
        </row>
        <row r="19">
          <cell r="N19"/>
          <cell r="O19"/>
          <cell r="P19"/>
          <cell r="Q19" t="str">
            <v>2801</v>
          </cell>
          <cell r="R19"/>
          <cell r="S19"/>
          <cell r="T19">
            <v>3058590</v>
          </cell>
        </row>
        <row r="20">
          <cell r="N20" t="str">
            <v>存入保證金</v>
          </cell>
          <cell r="O20"/>
          <cell r="P20"/>
          <cell r="Q20" t="str">
            <v>280104</v>
          </cell>
          <cell r="R20"/>
          <cell r="S20"/>
          <cell r="T20">
            <v>909593</v>
          </cell>
        </row>
        <row r="21">
          <cell r="N21" t="str">
            <v>應付退休及離職金</v>
          </cell>
          <cell r="O21"/>
          <cell r="P21"/>
          <cell r="Q21" t="str">
            <v>280106</v>
          </cell>
          <cell r="R21"/>
          <cell r="S21"/>
          <cell r="T21">
            <v>2148997</v>
          </cell>
        </row>
        <row r="22">
          <cell r="N22"/>
          <cell r="O22"/>
          <cell r="P22"/>
          <cell r="Q22" t="str">
            <v>3</v>
          </cell>
          <cell r="R22"/>
          <cell r="S22"/>
          <cell r="T22">
            <v>339425770</v>
          </cell>
        </row>
        <row r="23">
          <cell r="N23"/>
          <cell r="O23"/>
          <cell r="P23"/>
          <cell r="Q23"/>
          <cell r="R23"/>
          <cell r="S23"/>
          <cell r="T23"/>
        </row>
        <row r="24">
          <cell r="N24"/>
          <cell r="O24"/>
          <cell r="P24"/>
          <cell r="Q24" t="str">
            <v>31</v>
          </cell>
          <cell r="R24"/>
          <cell r="S24"/>
          <cell r="T24">
            <v>339425770</v>
          </cell>
        </row>
        <row r="25">
          <cell r="N25"/>
          <cell r="O25"/>
          <cell r="P25"/>
          <cell r="Q25"/>
          <cell r="R25"/>
          <cell r="S25"/>
          <cell r="T25"/>
        </row>
        <row r="26">
          <cell r="N26"/>
          <cell r="O26"/>
          <cell r="P26"/>
          <cell r="Q26" t="str">
            <v>3101</v>
          </cell>
          <cell r="R26"/>
          <cell r="S26"/>
          <cell r="T26">
            <v>339425770</v>
          </cell>
        </row>
        <row r="27">
          <cell r="N27" t="str">
            <v>累積餘額</v>
          </cell>
          <cell r="O27"/>
          <cell r="P27"/>
          <cell r="Q27" t="str">
            <v>310101</v>
          </cell>
          <cell r="R27"/>
          <cell r="S27"/>
          <cell r="T27">
            <v>343110363</v>
          </cell>
        </row>
        <row r="28">
          <cell r="N28"/>
          <cell r="O28"/>
          <cell r="P28"/>
          <cell r="Q28"/>
          <cell r="R28"/>
          <cell r="S28"/>
          <cell r="T28"/>
        </row>
        <row r="29">
          <cell r="N29" t="str">
            <v>本期短絀</v>
          </cell>
          <cell r="O29"/>
          <cell r="P29"/>
          <cell r="Q29" t="str">
            <v>310103</v>
          </cell>
          <cell r="R29"/>
          <cell r="S29"/>
          <cell r="T29">
            <v>-3684593</v>
          </cell>
        </row>
        <row r="30">
          <cell r="N30" t="str">
            <v>淨資產調整數</v>
          </cell>
          <cell r="O30"/>
          <cell r="P30"/>
          <cell r="Q30" t="str">
            <v>310104</v>
          </cell>
          <cell r="R30"/>
          <cell r="S30"/>
          <cell r="T30"/>
        </row>
        <row r="31">
          <cell r="N31"/>
          <cell r="O31"/>
          <cell r="P31"/>
          <cell r="Q31"/>
          <cell r="R31"/>
          <cell r="S31"/>
          <cell r="T31"/>
        </row>
        <row r="32">
          <cell r="N32"/>
          <cell r="O32"/>
          <cell r="P32"/>
          <cell r="Q32"/>
          <cell r="R32"/>
          <cell r="S32"/>
          <cell r="T32"/>
        </row>
        <row r="33">
          <cell r="N33"/>
          <cell r="O33"/>
          <cell r="P33"/>
          <cell r="Q33"/>
          <cell r="R33"/>
          <cell r="S33"/>
          <cell r="T33">
            <v>358971093</v>
          </cell>
        </row>
        <row r="34">
          <cell r="N34"/>
          <cell r="O34"/>
          <cell r="P34"/>
          <cell r="Q34"/>
          <cell r="R34"/>
          <cell r="S34"/>
          <cell r="T34"/>
        </row>
        <row r="35">
          <cell r="N35"/>
          <cell r="O35"/>
          <cell r="P35"/>
          <cell r="Q35"/>
          <cell r="R35"/>
          <cell r="S35"/>
          <cell r="T35"/>
        </row>
        <row r="36">
          <cell r="N36"/>
          <cell r="O36"/>
          <cell r="P36"/>
          <cell r="Q36"/>
          <cell r="R36"/>
          <cell r="S36"/>
          <cell r="T36"/>
        </row>
        <row r="37">
          <cell r="N37"/>
          <cell r="O37"/>
          <cell r="P37"/>
          <cell r="Q37"/>
          <cell r="R37"/>
          <cell r="S37"/>
          <cell r="T37"/>
        </row>
        <row r="38">
          <cell r="N38"/>
          <cell r="O38"/>
          <cell r="P38"/>
          <cell r="Q38"/>
          <cell r="R38"/>
          <cell r="S38"/>
          <cell r="T38"/>
        </row>
        <row r="39">
          <cell r="N39"/>
          <cell r="O39"/>
          <cell r="P39"/>
          <cell r="Q39"/>
          <cell r="R39"/>
          <cell r="S39"/>
          <cell r="T39"/>
        </row>
        <row r="40">
          <cell r="N40"/>
          <cell r="O40"/>
          <cell r="P40"/>
          <cell r="Q40"/>
          <cell r="R40"/>
          <cell r="S40"/>
          <cell r="T40"/>
        </row>
        <row r="41">
          <cell r="N41"/>
          <cell r="O41"/>
          <cell r="P41"/>
          <cell r="Q41"/>
          <cell r="R41"/>
          <cell r="S41"/>
          <cell r="T41"/>
        </row>
        <row r="42">
          <cell r="N42"/>
          <cell r="O42"/>
          <cell r="P42"/>
          <cell r="Q42"/>
          <cell r="R42"/>
          <cell r="S42"/>
          <cell r="T42"/>
        </row>
        <row r="43">
          <cell r="N43"/>
          <cell r="O43"/>
          <cell r="P43"/>
          <cell r="Q43"/>
          <cell r="R43"/>
          <cell r="S43"/>
          <cell r="T43"/>
        </row>
        <row r="44">
          <cell r="N44"/>
          <cell r="O44"/>
          <cell r="P44"/>
          <cell r="Q44"/>
          <cell r="R44"/>
          <cell r="S44"/>
          <cell r="T44"/>
        </row>
        <row r="45">
          <cell r="N45"/>
          <cell r="O45"/>
          <cell r="P45"/>
          <cell r="Q45"/>
          <cell r="R45"/>
          <cell r="S45"/>
          <cell r="T45"/>
        </row>
        <row r="46">
          <cell r="N46"/>
          <cell r="O46"/>
          <cell r="P46"/>
          <cell r="Q46"/>
          <cell r="R46"/>
          <cell r="S46"/>
          <cell r="T46"/>
        </row>
        <row r="47">
          <cell r="N47"/>
          <cell r="O47"/>
          <cell r="P47"/>
          <cell r="Q47"/>
          <cell r="R47"/>
          <cell r="S47"/>
          <cell r="T47"/>
        </row>
        <row r="48">
          <cell r="N48"/>
          <cell r="O48"/>
          <cell r="P48"/>
          <cell r="Q48"/>
          <cell r="R48"/>
          <cell r="S48"/>
          <cell r="T48"/>
        </row>
        <row r="49">
          <cell r="N49"/>
          <cell r="O49"/>
          <cell r="P49"/>
          <cell r="Q49"/>
          <cell r="R49"/>
          <cell r="S49"/>
          <cell r="T49"/>
        </row>
        <row r="50">
          <cell r="N50"/>
          <cell r="O50"/>
          <cell r="P50"/>
          <cell r="Q50"/>
          <cell r="R50"/>
          <cell r="S50"/>
          <cell r="T50"/>
        </row>
        <row r="51">
          <cell r="N51"/>
          <cell r="O51"/>
          <cell r="P51"/>
          <cell r="Q51"/>
          <cell r="R51"/>
          <cell r="S51"/>
          <cell r="T51"/>
        </row>
        <row r="52">
          <cell r="N52"/>
          <cell r="O52"/>
          <cell r="P52"/>
          <cell r="Q52"/>
          <cell r="R52"/>
          <cell r="S52"/>
          <cell r="T52"/>
        </row>
        <row r="53">
          <cell r="N53"/>
          <cell r="O53"/>
          <cell r="P53"/>
          <cell r="Q53"/>
          <cell r="R53"/>
          <cell r="S53"/>
          <cell r="T53"/>
        </row>
        <row r="54">
          <cell r="N54"/>
          <cell r="O54"/>
          <cell r="P54"/>
          <cell r="Q54"/>
          <cell r="R54"/>
          <cell r="S54"/>
          <cell r="T54"/>
        </row>
        <row r="55">
          <cell r="N55"/>
          <cell r="O55"/>
          <cell r="P55"/>
          <cell r="Q55"/>
          <cell r="R55"/>
          <cell r="S55"/>
          <cell r="T55"/>
        </row>
        <row r="56">
          <cell r="N56"/>
          <cell r="O56"/>
          <cell r="P56"/>
          <cell r="Q56"/>
          <cell r="R56"/>
          <cell r="S56"/>
          <cell r="T56"/>
        </row>
        <row r="57">
          <cell r="N57"/>
          <cell r="O57"/>
          <cell r="P57"/>
          <cell r="Q57"/>
          <cell r="R57"/>
          <cell r="S57"/>
          <cell r="T57"/>
        </row>
        <row r="58">
          <cell r="N58"/>
          <cell r="O58"/>
          <cell r="P58"/>
          <cell r="Q58"/>
          <cell r="R58"/>
          <cell r="S58"/>
          <cell r="T58"/>
        </row>
        <row r="59">
          <cell r="N59"/>
          <cell r="O59"/>
          <cell r="P59"/>
          <cell r="Q59"/>
          <cell r="R59"/>
          <cell r="S59"/>
          <cell r="T59"/>
        </row>
        <row r="60">
          <cell r="N60"/>
          <cell r="O60"/>
          <cell r="P60"/>
          <cell r="Q60"/>
          <cell r="R60"/>
          <cell r="S60"/>
          <cell r="T60"/>
        </row>
        <row r="61">
          <cell r="N61"/>
          <cell r="O61"/>
          <cell r="P61"/>
          <cell r="Q61"/>
          <cell r="R61"/>
          <cell r="S61"/>
          <cell r="T61"/>
        </row>
        <row r="62">
          <cell r="N62"/>
          <cell r="O62"/>
          <cell r="P62"/>
          <cell r="Q62"/>
          <cell r="R62"/>
          <cell r="S62"/>
          <cell r="T62"/>
        </row>
        <row r="63">
          <cell r="N63"/>
          <cell r="O63"/>
          <cell r="P63"/>
          <cell r="Q63"/>
          <cell r="R63"/>
          <cell r="S63"/>
          <cell r="T63"/>
        </row>
        <row r="64">
          <cell r="N64"/>
          <cell r="O64"/>
          <cell r="P64"/>
          <cell r="Q64"/>
          <cell r="R64"/>
          <cell r="S64"/>
          <cell r="T64"/>
        </row>
        <row r="65">
          <cell r="N65"/>
          <cell r="O65"/>
          <cell r="P65"/>
          <cell r="Q65"/>
          <cell r="R65"/>
          <cell r="S65"/>
          <cell r="T65"/>
        </row>
        <row r="66">
          <cell r="N66"/>
          <cell r="O66"/>
          <cell r="P66"/>
          <cell r="Q66"/>
          <cell r="R66"/>
          <cell r="S66"/>
          <cell r="T66"/>
        </row>
        <row r="67">
          <cell r="N67"/>
          <cell r="O67"/>
          <cell r="P67"/>
          <cell r="Q67"/>
          <cell r="R67"/>
          <cell r="S67"/>
          <cell r="T67"/>
        </row>
        <row r="68">
          <cell r="N68"/>
          <cell r="O68"/>
          <cell r="P68"/>
          <cell r="Q68"/>
          <cell r="R68"/>
          <cell r="S68"/>
          <cell r="T68"/>
        </row>
        <row r="69">
          <cell r="N69"/>
          <cell r="O69"/>
          <cell r="P69"/>
          <cell r="Q69"/>
          <cell r="R69"/>
          <cell r="S69"/>
          <cell r="T69"/>
        </row>
        <row r="70">
          <cell r="N70"/>
          <cell r="O70"/>
          <cell r="P70"/>
          <cell r="Q70"/>
          <cell r="R70"/>
          <cell r="S70"/>
          <cell r="T70"/>
        </row>
        <row r="71">
          <cell r="N71"/>
          <cell r="O71"/>
          <cell r="P71"/>
          <cell r="Q71"/>
          <cell r="R71"/>
          <cell r="S71"/>
          <cell r="T71"/>
        </row>
        <row r="72">
          <cell r="N72"/>
          <cell r="O72"/>
          <cell r="P72"/>
          <cell r="Q72"/>
          <cell r="R72"/>
          <cell r="S72"/>
          <cell r="T72"/>
        </row>
        <row r="73">
          <cell r="N73"/>
          <cell r="O73"/>
          <cell r="P73"/>
          <cell r="Q73"/>
          <cell r="R73"/>
          <cell r="S73"/>
          <cell r="T73"/>
        </row>
        <row r="74">
          <cell r="N74"/>
          <cell r="O74"/>
          <cell r="P74"/>
          <cell r="Q74"/>
          <cell r="R74"/>
          <cell r="S74"/>
          <cell r="T74"/>
        </row>
        <row r="75">
          <cell r="N75"/>
          <cell r="O75"/>
          <cell r="P75"/>
          <cell r="Q75"/>
          <cell r="R75"/>
          <cell r="S75"/>
          <cell r="T75"/>
        </row>
        <row r="76">
          <cell r="N76"/>
          <cell r="O76"/>
          <cell r="P76"/>
          <cell r="Q76"/>
          <cell r="R76"/>
          <cell r="S76"/>
          <cell r="T76"/>
        </row>
        <row r="77">
          <cell r="N77"/>
          <cell r="O77"/>
          <cell r="P77"/>
          <cell r="Q77"/>
          <cell r="R77"/>
          <cell r="S77"/>
          <cell r="T77"/>
        </row>
        <row r="78">
          <cell r="N78"/>
          <cell r="O78"/>
          <cell r="P78"/>
          <cell r="Q78"/>
          <cell r="R78"/>
          <cell r="S78"/>
          <cell r="T78"/>
        </row>
        <row r="79">
          <cell r="N79"/>
          <cell r="O79"/>
          <cell r="P79"/>
          <cell r="Q79"/>
          <cell r="R79"/>
          <cell r="S79"/>
          <cell r="T79"/>
        </row>
        <row r="80">
          <cell r="N80"/>
          <cell r="O80"/>
          <cell r="P80"/>
          <cell r="Q80"/>
          <cell r="R80"/>
          <cell r="S80"/>
          <cell r="T80"/>
        </row>
        <row r="81">
          <cell r="N81"/>
          <cell r="O81"/>
          <cell r="P81"/>
          <cell r="Q81"/>
          <cell r="R81"/>
          <cell r="S81"/>
          <cell r="T81"/>
        </row>
        <row r="82">
          <cell r="N82"/>
          <cell r="O82"/>
          <cell r="P82"/>
          <cell r="Q82"/>
          <cell r="R82"/>
          <cell r="S82"/>
          <cell r="T82"/>
        </row>
        <row r="83">
          <cell r="N83"/>
          <cell r="O83"/>
          <cell r="P83"/>
          <cell r="Q83"/>
          <cell r="R83"/>
          <cell r="S83"/>
          <cell r="T83"/>
        </row>
      </sheetData>
      <sheetData sheetId="8"/>
      <sheetData sheetId="9"/>
      <sheetData sheetId="10"/>
      <sheetData sheetId="11"/>
      <sheetData sheetId="12"/>
      <sheetData sheetId="13">
        <row r="14">
          <cell r="N14">
            <v>56376436</v>
          </cell>
        </row>
        <row r="15">
          <cell r="N15">
            <v>143644</v>
          </cell>
        </row>
        <row r="16">
          <cell r="N16">
            <v>143644</v>
          </cell>
        </row>
        <row r="17">
          <cell r="N17">
            <v>649103</v>
          </cell>
        </row>
        <row r="18">
          <cell r="N18">
            <v>0</v>
          </cell>
        </row>
        <row r="19">
          <cell r="N19">
            <v>880</v>
          </cell>
        </row>
        <row r="20">
          <cell r="N20">
            <v>98225</v>
          </cell>
        </row>
        <row r="21">
          <cell r="N21">
            <v>549998</v>
          </cell>
        </row>
        <row r="22">
          <cell r="N22">
            <v>55583255</v>
          </cell>
        </row>
        <row r="23">
          <cell r="N23">
            <v>55583255</v>
          </cell>
        </row>
        <row r="24">
          <cell r="N24">
            <v>434</v>
          </cell>
        </row>
        <row r="25">
          <cell r="N25">
            <v>0</v>
          </cell>
        </row>
        <row r="26">
          <cell r="N26">
            <v>434</v>
          </cell>
        </row>
        <row r="27">
          <cell r="N27">
            <v>60061029</v>
          </cell>
        </row>
        <row r="28">
          <cell r="N28">
            <v>54898259</v>
          </cell>
        </row>
        <row r="29">
          <cell r="N29">
            <v>54898259</v>
          </cell>
        </row>
        <row r="30">
          <cell r="N30">
            <v>1165352</v>
          </cell>
        </row>
        <row r="31">
          <cell r="N31">
            <v>1165352</v>
          </cell>
        </row>
        <row r="32">
          <cell r="N32">
            <v>2745</v>
          </cell>
        </row>
        <row r="33">
          <cell r="N33">
            <v>2745</v>
          </cell>
        </row>
        <row r="34">
          <cell r="N34">
            <v>3974073</v>
          </cell>
        </row>
        <row r="35">
          <cell r="N35">
            <v>3948861</v>
          </cell>
        </row>
        <row r="36">
          <cell r="N36">
            <v>25212</v>
          </cell>
        </row>
        <row r="37">
          <cell r="N37">
            <v>20600</v>
          </cell>
        </row>
        <row r="38">
          <cell r="N38">
            <v>20600</v>
          </cell>
        </row>
        <row r="39">
          <cell r="N39">
            <v>-3684593</v>
          </cell>
        </row>
        <row r="41">
          <cell r="N41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463</v>
      </c>
    </row>
    <row r="4" spans="1:14" ht="36.75">
      <c r="A4" s="611" t="s">
        <v>269</v>
      </c>
      <c r="B4" s="612"/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2"/>
      <c r="N4" s="612"/>
    </row>
    <row r="5" spans="1:14" ht="59.25" customHeight="1"/>
    <row r="6" spans="1:14" ht="59.25" customHeight="1"/>
    <row r="7" spans="1:14" ht="36.75">
      <c r="C7" s="613" t="s">
        <v>116</v>
      </c>
      <c r="D7" s="613"/>
      <c r="E7" s="613"/>
      <c r="F7" s="613"/>
      <c r="G7" s="613"/>
      <c r="H7" s="613"/>
      <c r="I7" s="613"/>
      <c r="J7" s="613"/>
      <c r="K7" s="613"/>
      <c r="L7" s="613"/>
    </row>
    <row r="8" spans="1:14" ht="51.75" customHeight="1"/>
    <row r="9" spans="1:14" ht="51.75" customHeight="1"/>
    <row r="10" spans="1:14" s="54" customFormat="1" ht="32.25">
      <c r="C10" s="283"/>
      <c r="D10" s="283"/>
      <c r="E10" s="614" t="s">
        <v>117</v>
      </c>
      <c r="F10" s="614"/>
      <c r="G10" s="614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615" t="s">
        <v>120</v>
      </c>
      <c r="C15" s="615"/>
      <c r="D15" s="615"/>
      <c r="E15" s="615"/>
      <c r="F15" s="615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50"/>
  <sheetViews>
    <sheetView showGridLines="0" showZeros="0" showOutlineSymbols="0" view="pageBreakPreview" topLeftCell="A2" zoomScaleSheetLayoutView="100" workbookViewId="0">
      <selection activeCell="D19" sqref="D19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706" t="str">
        <f>封面!$A$4</f>
        <v>彰化縣地方教育發展基金－彰化縣彰化市民生國民小學</v>
      </c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6"/>
      <c r="N2" s="706"/>
      <c r="O2" s="706"/>
      <c r="P2" s="706"/>
      <c r="Q2" s="706"/>
      <c r="R2" s="706"/>
      <c r="S2" s="706"/>
      <c r="T2" s="706"/>
      <c r="U2" s="706"/>
    </row>
    <row r="3" spans="1:21" ht="21">
      <c r="A3" s="708" t="s">
        <v>0</v>
      </c>
      <c r="B3" s="708"/>
      <c r="C3" s="708"/>
      <c r="D3" s="708"/>
      <c r="E3" s="708"/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  <c r="U3" s="708"/>
    </row>
    <row r="4" spans="1:21" ht="19.5">
      <c r="A4" s="709" t="str">
        <f>封面!$E$10&amp;封面!$H$10&amp;封面!$I$10&amp;封面!$J$10&amp;封面!$K$10&amp;封面!$O$10&amp;"日"</f>
        <v>中華民國114年5月31日</v>
      </c>
      <c r="B4" s="709"/>
      <c r="C4" s="709"/>
      <c r="D4" s="709"/>
      <c r="E4" s="709"/>
      <c r="F4" s="709"/>
      <c r="G4" s="709"/>
      <c r="H4" s="709"/>
      <c r="I4" s="709"/>
      <c r="J4" s="709"/>
      <c r="K4" s="709"/>
      <c r="L4" s="709"/>
      <c r="M4" s="709"/>
      <c r="N4" s="709"/>
      <c r="O4" s="709"/>
      <c r="P4" s="709"/>
      <c r="Q4" s="709"/>
      <c r="R4" s="709"/>
      <c r="S4" s="709"/>
      <c r="T4" s="709"/>
      <c r="U4" s="709"/>
    </row>
    <row r="5" spans="1:21" ht="2.25" customHeight="1"/>
    <row r="6" spans="1:21" ht="15.75" customHeight="1">
      <c r="A6" s="707" t="s">
        <v>1</v>
      </c>
      <c r="B6" s="707"/>
      <c r="C6" s="707"/>
      <c r="D6" s="707"/>
      <c r="E6" s="707"/>
      <c r="F6" s="707"/>
      <c r="G6" s="707"/>
      <c r="H6" s="707"/>
      <c r="I6" s="707"/>
      <c r="J6" s="707"/>
      <c r="K6" s="707"/>
      <c r="L6" s="707"/>
      <c r="M6" s="707"/>
      <c r="N6" s="707"/>
      <c r="O6" s="707"/>
      <c r="P6" s="707"/>
      <c r="Q6" s="707"/>
      <c r="R6" s="707"/>
      <c r="S6" s="707"/>
      <c r="T6" s="707"/>
      <c r="U6" s="707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710" t="s">
        <v>2</v>
      </c>
      <c r="B8" s="710"/>
      <c r="C8" s="710"/>
      <c r="D8" s="710"/>
      <c r="E8" s="710"/>
      <c r="F8" s="710"/>
      <c r="G8" s="288"/>
      <c r="H8" s="1"/>
      <c r="I8" s="1"/>
      <c r="J8" s="363"/>
      <c r="K8" s="711" t="s">
        <v>3</v>
      </c>
      <c r="L8" s="711"/>
      <c r="M8" s="711"/>
      <c r="N8" s="711"/>
      <c r="O8" s="711"/>
      <c r="P8" s="711"/>
      <c r="Q8" s="712"/>
      <c r="R8" s="288"/>
      <c r="S8" s="288"/>
      <c r="T8" s="288"/>
      <c r="U8" s="1"/>
    </row>
    <row r="9" spans="1:21" ht="18" customHeight="1">
      <c r="A9" s="710"/>
      <c r="B9" s="710"/>
      <c r="C9" s="710"/>
      <c r="D9" s="710"/>
      <c r="E9" s="710"/>
      <c r="F9" s="710"/>
      <c r="G9" s="288"/>
      <c r="H9" s="710" t="s">
        <v>4</v>
      </c>
      <c r="I9" s="710" t="s">
        <v>5</v>
      </c>
      <c r="J9" s="363"/>
      <c r="K9" s="711"/>
      <c r="L9" s="711"/>
      <c r="M9" s="711"/>
      <c r="N9" s="711"/>
      <c r="O9" s="711"/>
      <c r="P9" s="711"/>
      <c r="Q9" s="712"/>
      <c r="R9" s="288"/>
      <c r="S9" s="288"/>
      <c r="T9" s="714" t="s">
        <v>4</v>
      </c>
      <c r="U9" s="710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710"/>
      <c r="I10" s="710"/>
      <c r="J10" s="1"/>
      <c r="K10" s="1"/>
      <c r="L10" s="1"/>
      <c r="M10" s="1"/>
      <c r="N10" s="1"/>
      <c r="O10" s="1"/>
      <c r="P10" s="1"/>
      <c r="Q10" s="1"/>
      <c r="R10" s="1"/>
      <c r="S10" s="1"/>
      <c r="T10" s="715"/>
      <c r="U10" s="710"/>
    </row>
    <row r="11" spans="1:21" ht="18" customHeight="1">
      <c r="A11" s="710" t="s">
        <v>6</v>
      </c>
      <c r="B11" s="710"/>
      <c r="C11" s="710"/>
      <c r="D11" s="710"/>
      <c r="E11" s="710"/>
      <c r="F11" s="710" t="s">
        <v>7</v>
      </c>
      <c r="G11" s="288"/>
      <c r="H11" s="710"/>
      <c r="I11" s="710"/>
      <c r="J11" s="363"/>
      <c r="K11" s="711" t="s">
        <v>6</v>
      </c>
      <c r="L11" s="711"/>
      <c r="M11" s="711"/>
      <c r="N11" s="711"/>
      <c r="O11" s="712"/>
      <c r="P11" s="288"/>
      <c r="Q11" s="710" t="s">
        <v>7</v>
      </c>
      <c r="R11" s="288"/>
      <c r="S11" s="288"/>
      <c r="T11" s="716"/>
      <c r="U11" s="710"/>
    </row>
    <row r="12" spans="1:21" ht="14.25" hidden="1">
      <c r="A12" s="710"/>
      <c r="B12" s="710"/>
      <c r="C12" s="710"/>
      <c r="D12" s="710"/>
      <c r="E12" s="710"/>
      <c r="F12" s="710"/>
      <c r="G12" s="288"/>
      <c r="H12" s="1"/>
      <c r="I12" s="1"/>
      <c r="J12" s="363"/>
      <c r="K12" s="711"/>
      <c r="L12" s="711"/>
      <c r="M12" s="711"/>
      <c r="N12" s="711"/>
      <c r="O12" s="712"/>
      <c r="P12" s="288"/>
      <c r="Q12" s="710"/>
      <c r="R12" s="288"/>
      <c r="S12" s="288"/>
      <c r="T12" s="288"/>
      <c r="U12" s="1"/>
    </row>
    <row r="13" spans="1:21" ht="14.25">
      <c r="A13" s="101" t="s">
        <v>486</v>
      </c>
      <c r="B13" s="102"/>
      <c r="C13" s="337"/>
      <c r="D13" s="337"/>
      <c r="E13" s="338"/>
      <c r="F13" s="104" t="s">
        <v>487</v>
      </c>
      <c r="G13" s="104"/>
      <c r="H13" s="105">
        <v>355805108</v>
      </c>
      <c r="I13" s="284">
        <v>100</v>
      </c>
      <c r="J13" s="364"/>
      <c r="K13" s="102" t="s">
        <v>539</v>
      </c>
      <c r="L13" s="102"/>
      <c r="M13" s="102"/>
      <c r="N13" s="102"/>
      <c r="O13" s="103"/>
      <c r="P13" s="103"/>
      <c r="Q13" s="106" t="s">
        <v>540</v>
      </c>
      <c r="R13" s="104"/>
      <c r="S13" s="104"/>
      <c r="T13" s="516">
        <v>18447452</v>
      </c>
      <c r="U13" s="392">
        <v>5.1847069042077942</v>
      </c>
    </row>
    <row r="14" spans="1:21" ht="14.25">
      <c r="A14" s="296"/>
      <c r="B14" s="108" t="s">
        <v>488</v>
      </c>
      <c r="C14" s="322"/>
      <c r="D14" s="322"/>
      <c r="E14" s="323"/>
      <c r="F14" s="114" t="s">
        <v>489</v>
      </c>
      <c r="G14" s="114"/>
      <c r="H14" s="111">
        <v>23269960</v>
      </c>
      <c r="I14" s="285">
        <v>6.5400859843754686</v>
      </c>
      <c r="J14" s="107"/>
      <c r="K14" s="108"/>
      <c r="L14" s="108" t="s">
        <v>541</v>
      </c>
      <c r="M14" s="108"/>
      <c r="N14" s="108"/>
      <c r="O14" s="109"/>
      <c r="P14" s="109"/>
      <c r="Q14" s="112" t="s">
        <v>542</v>
      </c>
      <c r="R14" s="114"/>
      <c r="S14" s="114"/>
      <c r="T14" s="431">
        <v>15503992</v>
      </c>
      <c r="U14" s="393">
        <v>4.3574394103414615</v>
      </c>
    </row>
    <row r="15" spans="1:21" ht="14.25">
      <c r="A15" s="296"/>
      <c r="B15" s="108"/>
      <c r="C15" s="322" t="s">
        <v>490</v>
      </c>
      <c r="D15" s="322"/>
      <c r="E15" s="323"/>
      <c r="F15" s="114" t="s">
        <v>491</v>
      </c>
      <c r="G15" s="114"/>
      <c r="H15" s="111">
        <v>22114418</v>
      </c>
      <c r="I15" s="285">
        <v>6.2153177407447444</v>
      </c>
      <c r="J15" s="107"/>
      <c r="K15" s="108"/>
      <c r="L15" s="108"/>
      <c r="M15" s="108" t="s">
        <v>543</v>
      </c>
      <c r="N15" s="108"/>
      <c r="O15" s="109"/>
      <c r="P15" s="109"/>
      <c r="Q15" s="112" t="s">
        <v>544</v>
      </c>
      <c r="R15" s="114"/>
      <c r="S15" s="114"/>
      <c r="T15" s="431">
        <v>15503992</v>
      </c>
      <c r="U15" s="393">
        <v>4.3574394103414615</v>
      </c>
    </row>
    <row r="16" spans="1:21" ht="14.25">
      <c r="A16" s="296"/>
      <c r="B16" s="108"/>
      <c r="C16" s="322"/>
      <c r="D16" s="322" t="s">
        <v>492</v>
      </c>
      <c r="E16" s="323"/>
      <c r="F16" s="114" t="s">
        <v>493</v>
      </c>
      <c r="G16" s="114"/>
      <c r="H16" s="111">
        <v>22054418</v>
      </c>
      <c r="I16" s="285">
        <v>6.1984545764306453</v>
      </c>
      <c r="J16" s="107"/>
      <c r="K16" s="108"/>
      <c r="L16" s="108"/>
      <c r="M16" s="108"/>
      <c r="N16" s="108" t="s">
        <v>545</v>
      </c>
      <c r="O16" s="109"/>
      <c r="P16" s="109"/>
      <c r="Q16" s="112" t="s">
        <v>546</v>
      </c>
      <c r="R16" s="114"/>
      <c r="S16" s="114"/>
      <c r="T16" s="431">
        <v>15503992</v>
      </c>
      <c r="U16" s="393">
        <v>4.3574394103414615</v>
      </c>
    </row>
    <row r="17" spans="1:21" ht="14.25">
      <c r="A17" s="296"/>
      <c r="B17" s="108"/>
      <c r="C17" s="322"/>
      <c r="D17" s="322"/>
      <c r="E17" s="323" t="s">
        <v>494</v>
      </c>
      <c r="F17" s="114" t="s">
        <v>495</v>
      </c>
      <c r="G17" s="114"/>
      <c r="H17" s="111">
        <v>6928695</v>
      </c>
      <c r="I17" s="285">
        <v>1.9473287044546868</v>
      </c>
      <c r="J17" s="107"/>
      <c r="K17" s="108"/>
      <c r="L17" s="108"/>
      <c r="M17" s="108"/>
      <c r="N17" s="108" t="s">
        <v>547</v>
      </c>
      <c r="O17" s="109"/>
      <c r="P17" s="109"/>
      <c r="Q17" s="112" t="s">
        <v>548</v>
      </c>
      <c r="R17" s="114"/>
      <c r="S17" s="114"/>
      <c r="T17" s="431">
        <v>0</v>
      </c>
      <c r="U17" s="393">
        <v>0</v>
      </c>
    </row>
    <row r="18" spans="1:21" ht="14.25">
      <c r="A18" s="296"/>
      <c r="B18" s="108"/>
      <c r="C18" s="322"/>
      <c r="D18" s="322"/>
      <c r="E18" s="323" t="s">
        <v>496</v>
      </c>
      <c r="F18" s="114" t="s">
        <v>497</v>
      </c>
      <c r="G18" s="114"/>
      <c r="H18" s="111">
        <v>15125723</v>
      </c>
      <c r="I18" s="285">
        <v>4.2511258719759573</v>
      </c>
      <c r="J18" s="107"/>
      <c r="K18" s="108"/>
      <c r="L18" s="108" t="s">
        <v>549</v>
      </c>
      <c r="M18" s="108"/>
      <c r="N18" s="108"/>
      <c r="O18" s="109"/>
      <c r="P18" s="109"/>
      <c r="Q18" s="112" t="s">
        <v>550</v>
      </c>
      <c r="R18" s="114"/>
      <c r="S18" s="114"/>
      <c r="T18" s="431">
        <v>2943460</v>
      </c>
      <c r="U18" s="393">
        <v>0.82726749386633314</v>
      </c>
    </row>
    <row r="19" spans="1:21" ht="14.25">
      <c r="A19" s="296"/>
      <c r="B19" s="108"/>
      <c r="C19" s="322"/>
      <c r="D19" s="322" t="s">
        <v>498</v>
      </c>
      <c r="E19" s="323"/>
      <c r="F19" s="114" t="s">
        <v>499</v>
      </c>
      <c r="G19" s="114"/>
      <c r="H19" s="111">
        <v>60000</v>
      </c>
      <c r="I19" s="285">
        <v>1.6863164314099729E-2</v>
      </c>
      <c r="J19" s="107"/>
      <c r="K19" s="108"/>
      <c r="L19" s="108"/>
      <c r="M19" s="108" t="s">
        <v>551</v>
      </c>
      <c r="N19" s="108"/>
      <c r="O19" s="109"/>
      <c r="P19" s="109"/>
      <c r="Q19" s="112" t="s">
        <v>552</v>
      </c>
      <c r="R19" s="114"/>
      <c r="S19" s="114"/>
      <c r="T19" s="431">
        <v>2943460</v>
      </c>
      <c r="U19" s="393">
        <v>0.82726749386633314</v>
      </c>
    </row>
    <row r="20" spans="1:21" ht="14.25">
      <c r="A20" s="296"/>
      <c r="B20" s="108"/>
      <c r="C20" s="322" t="s">
        <v>500</v>
      </c>
      <c r="D20" s="322"/>
      <c r="E20" s="323"/>
      <c r="F20" s="114" t="s">
        <v>501</v>
      </c>
      <c r="G20" s="114"/>
      <c r="H20" s="111">
        <v>1155542</v>
      </c>
      <c r="I20" s="285">
        <v>0.32476824363072382</v>
      </c>
      <c r="J20" s="107"/>
      <c r="K20" s="108"/>
      <c r="L20" s="108"/>
      <c r="M20" s="108"/>
      <c r="N20" s="108" t="s">
        <v>553</v>
      </c>
      <c r="O20" s="109"/>
      <c r="P20" s="109"/>
      <c r="Q20" s="112" t="s">
        <v>554</v>
      </c>
      <c r="R20" s="114"/>
      <c r="S20" s="114"/>
      <c r="T20" s="431">
        <v>777273</v>
      </c>
      <c r="U20" s="393">
        <v>0.21845470526522065</v>
      </c>
    </row>
    <row r="21" spans="1:21" ht="14.25">
      <c r="A21" s="296"/>
      <c r="B21" s="108"/>
      <c r="C21" s="322"/>
      <c r="D21" s="322" t="s">
        <v>502</v>
      </c>
      <c r="E21" s="323"/>
      <c r="F21" s="114" t="s">
        <v>503</v>
      </c>
      <c r="G21" s="114"/>
      <c r="H21" s="111">
        <v>1155542</v>
      </c>
      <c r="I21" s="285">
        <v>0.32476824363072382</v>
      </c>
      <c r="J21" s="107"/>
      <c r="K21" s="108"/>
      <c r="L21" s="108"/>
      <c r="M21" s="108"/>
      <c r="N21" s="108" t="s">
        <v>555</v>
      </c>
      <c r="O21" s="109"/>
      <c r="P21" s="109"/>
      <c r="Q21" s="112" t="s">
        <v>556</v>
      </c>
      <c r="R21" s="114"/>
      <c r="S21" s="114"/>
      <c r="T21" s="431">
        <v>2166187</v>
      </c>
      <c r="U21" s="393">
        <v>0.60881278860111254</v>
      </c>
    </row>
    <row r="22" spans="1:21" ht="14.25">
      <c r="A22" s="296"/>
      <c r="B22" s="108" t="s">
        <v>504</v>
      </c>
      <c r="C22" s="322"/>
      <c r="D22" s="322"/>
      <c r="E22" s="323"/>
      <c r="F22" s="114" t="s">
        <v>505</v>
      </c>
      <c r="G22" s="114"/>
      <c r="H22" s="111">
        <v>2166187</v>
      </c>
      <c r="I22" s="285">
        <v>0.60881278860111254</v>
      </c>
      <c r="J22" s="107"/>
      <c r="K22" s="108" t="s">
        <v>557</v>
      </c>
      <c r="L22" s="108"/>
      <c r="M22" s="108"/>
      <c r="N22" s="108"/>
      <c r="O22" s="109"/>
      <c r="P22" s="109"/>
      <c r="Q22" s="112" t="s">
        <v>558</v>
      </c>
      <c r="R22" s="114"/>
      <c r="S22" s="114"/>
      <c r="T22" s="431">
        <v>337357656</v>
      </c>
      <c r="U22" s="393">
        <v>94.8152930957922</v>
      </c>
    </row>
    <row r="23" spans="1:21" ht="14.25">
      <c r="A23" s="296"/>
      <c r="B23" s="108"/>
      <c r="C23" s="322" t="s">
        <v>506</v>
      </c>
      <c r="D23" s="322"/>
      <c r="E23" s="323"/>
      <c r="F23" s="114" t="s">
        <v>507</v>
      </c>
      <c r="G23" s="114"/>
      <c r="H23" s="111">
        <v>2166187</v>
      </c>
      <c r="I23" s="285">
        <v>0.60881278860111254</v>
      </c>
      <c r="J23" s="107"/>
      <c r="K23" s="108"/>
      <c r="L23" s="108" t="s">
        <v>557</v>
      </c>
      <c r="M23" s="108"/>
      <c r="N23" s="108"/>
      <c r="O23" s="109"/>
      <c r="P23" s="109"/>
      <c r="Q23" s="112" t="s">
        <v>559</v>
      </c>
      <c r="R23" s="114"/>
      <c r="S23" s="114"/>
      <c r="T23" s="431">
        <v>337357656</v>
      </c>
      <c r="U23" s="393">
        <v>94.8152930957922</v>
      </c>
    </row>
    <row r="24" spans="1:21" ht="14.25">
      <c r="A24" s="296"/>
      <c r="B24" s="108"/>
      <c r="C24" s="322"/>
      <c r="D24" s="322" t="s">
        <v>479</v>
      </c>
      <c r="E24" s="323"/>
      <c r="F24" s="114" t="s">
        <v>508</v>
      </c>
      <c r="G24" s="114"/>
      <c r="H24" s="111">
        <v>2166187</v>
      </c>
      <c r="I24" s="285">
        <v>0.60881278860111254</v>
      </c>
      <c r="J24" s="107"/>
      <c r="K24" s="108"/>
      <c r="L24" s="108"/>
      <c r="M24" s="108" t="s">
        <v>557</v>
      </c>
      <c r="N24" s="108"/>
      <c r="O24" s="109"/>
      <c r="P24" s="109"/>
      <c r="Q24" s="112" t="s">
        <v>560</v>
      </c>
      <c r="R24" s="114"/>
      <c r="S24" s="114"/>
      <c r="T24" s="431">
        <v>337357656</v>
      </c>
      <c r="U24" s="393">
        <v>94.8152930957922</v>
      </c>
    </row>
    <row r="25" spans="1:21" ht="14.25">
      <c r="A25" s="296"/>
      <c r="B25" s="108" t="s">
        <v>509</v>
      </c>
      <c r="C25" s="322"/>
      <c r="D25" s="322"/>
      <c r="E25" s="323"/>
      <c r="F25" s="114" t="s">
        <v>510</v>
      </c>
      <c r="G25" s="114"/>
      <c r="H25" s="111">
        <v>330149133</v>
      </c>
      <c r="I25" s="285">
        <v>92.789317965609428</v>
      </c>
      <c r="J25" s="107"/>
      <c r="K25" s="108"/>
      <c r="L25" s="108"/>
      <c r="M25" s="108"/>
      <c r="N25" s="108" t="s">
        <v>561</v>
      </c>
      <c r="O25" s="109"/>
      <c r="P25" s="109"/>
      <c r="Q25" s="112" t="s">
        <v>562</v>
      </c>
      <c r="R25" s="114"/>
      <c r="S25" s="114"/>
      <c r="T25" s="431">
        <v>343110363</v>
      </c>
      <c r="U25" s="393">
        <v>96.432107152323411</v>
      </c>
    </row>
    <row r="26" spans="1:21" ht="14.25">
      <c r="A26" s="296"/>
      <c r="B26" s="108"/>
      <c r="C26" s="322" t="s">
        <v>44</v>
      </c>
      <c r="D26" s="322"/>
      <c r="E26" s="323"/>
      <c r="F26" s="114" t="s">
        <v>511</v>
      </c>
      <c r="G26" s="114"/>
      <c r="H26" s="111">
        <v>169277745</v>
      </c>
      <c r="I26" s="285">
        <v>47.575973810921234</v>
      </c>
      <c r="J26" s="107"/>
      <c r="K26" s="108"/>
      <c r="L26" s="108"/>
      <c r="M26" s="108"/>
      <c r="N26" s="108" t="s">
        <v>563</v>
      </c>
      <c r="O26" s="109"/>
      <c r="P26" s="109"/>
      <c r="Q26" s="112" t="s">
        <v>564</v>
      </c>
      <c r="R26" s="114"/>
      <c r="S26" s="114"/>
      <c r="T26" s="431">
        <v>-5752707</v>
      </c>
      <c r="U26" s="393">
        <v>-1.6168140565311953</v>
      </c>
    </row>
    <row r="27" spans="1:21" ht="14.25">
      <c r="A27" s="296"/>
      <c r="B27" s="108"/>
      <c r="C27" s="322"/>
      <c r="D27" s="322" t="s">
        <v>44</v>
      </c>
      <c r="E27" s="323"/>
      <c r="F27" s="114" t="s">
        <v>512</v>
      </c>
      <c r="G27" s="114"/>
      <c r="H27" s="111">
        <v>169277745</v>
      </c>
      <c r="I27" s="285">
        <v>47.575973810921234</v>
      </c>
      <c r="J27" s="107"/>
      <c r="K27" s="108"/>
      <c r="L27" s="108"/>
      <c r="M27" s="108"/>
      <c r="N27" s="108" t="s">
        <v>565</v>
      </c>
      <c r="O27" s="109"/>
      <c r="P27" s="109"/>
      <c r="Q27" s="112" t="s">
        <v>566</v>
      </c>
      <c r="R27" s="114"/>
      <c r="S27" s="114"/>
      <c r="T27" s="431"/>
      <c r="U27" s="393"/>
    </row>
    <row r="28" spans="1:21" ht="14.25">
      <c r="A28" s="296"/>
      <c r="B28" s="108"/>
      <c r="C28" s="322" t="s">
        <v>45</v>
      </c>
      <c r="D28" s="322"/>
      <c r="E28" s="323"/>
      <c r="F28" s="114" t="s">
        <v>513</v>
      </c>
      <c r="G28" s="114"/>
      <c r="H28" s="111">
        <v>13600000</v>
      </c>
      <c r="I28" s="285">
        <v>3.8223172445292715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1"/>
      <c r="U28" s="393"/>
    </row>
    <row r="29" spans="1:21" ht="14.25">
      <c r="A29" s="296"/>
      <c r="B29" s="108"/>
      <c r="C29" s="108"/>
      <c r="D29" s="108" t="s">
        <v>45</v>
      </c>
      <c r="E29" s="109"/>
      <c r="F29" s="114" t="s">
        <v>514</v>
      </c>
      <c r="G29" s="114"/>
      <c r="H29" s="111">
        <v>27169487</v>
      </c>
      <c r="I29" s="285">
        <v>7.6360587268466089</v>
      </c>
      <c r="J29" s="107"/>
      <c r="K29" s="108" t="s">
        <v>538</v>
      </c>
      <c r="L29" s="108"/>
      <c r="M29" s="108"/>
      <c r="N29" s="108"/>
      <c r="O29" s="109"/>
      <c r="P29" s="109"/>
      <c r="Q29" s="112"/>
      <c r="R29" s="114"/>
      <c r="S29" s="114"/>
      <c r="T29" s="431">
        <v>355805108</v>
      </c>
      <c r="U29" s="393"/>
    </row>
    <row r="30" spans="1:21" ht="14.25">
      <c r="A30" s="296"/>
      <c r="B30" s="108"/>
      <c r="C30" s="108"/>
      <c r="D30" s="108" t="s">
        <v>515</v>
      </c>
      <c r="E30" s="109"/>
      <c r="F30" s="114" t="s">
        <v>516</v>
      </c>
      <c r="G30" s="114"/>
      <c r="H30" s="111">
        <v>-13569487</v>
      </c>
      <c r="I30" s="285">
        <v>-3.8137414823173361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1"/>
      <c r="U30" s="393"/>
    </row>
    <row r="31" spans="1:21" ht="14.25">
      <c r="A31" s="296"/>
      <c r="B31" s="108"/>
      <c r="C31" s="108" t="s">
        <v>517</v>
      </c>
      <c r="D31" s="108"/>
      <c r="E31" s="109"/>
      <c r="F31" s="114" t="s">
        <v>518</v>
      </c>
      <c r="G31" s="114"/>
      <c r="H31" s="111">
        <v>127044810</v>
      </c>
      <c r="I31" s="285">
        <v>35.706291771393005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1"/>
      <c r="U31" s="393"/>
    </row>
    <row r="32" spans="1:21" ht="14.25">
      <c r="A32" s="296"/>
      <c r="B32" s="108"/>
      <c r="C32" s="108"/>
      <c r="D32" s="108" t="s">
        <v>517</v>
      </c>
      <c r="E32" s="109"/>
      <c r="F32" s="114" t="s">
        <v>519</v>
      </c>
      <c r="G32" s="114"/>
      <c r="H32" s="111">
        <v>256848064</v>
      </c>
      <c r="I32" s="285">
        <v>72.187851783173386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1"/>
      <c r="U32" s="393"/>
    </row>
    <row r="33" spans="1:21" ht="14.25">
      <c r="A33" s="296"/>
      <c r="B33" s="108"/>
      <c r="C33" s="108"/>
      <c r="D33" s="108" t="s">
        <v>520</v>
      </c>
      <c r="E33" s="109"/>
      <c r="F33" s="114" t="s">
        <v>521</v>
      </c>
      <c r="G33" s="114"/>
      <c r="H33" s="111">
        <v>-129803254</v>
      </c>
      <c r="I33" s="285">
        <v>-36.481560011780381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1"/>
      <c r="U33" s="393"/>
    </row>
    <row r="34" spans="1:21" ht="14.25">
      <c r="A34" s="296"/>
      <c r="B34" s="108"/>
      <c r="C34" s="108" t="s">
        <v>47</v>
      </c>
      <c r="D34" s="108"/>
      <c r="E34" s="109"/>
      <c r="F34" s="114" t="s">
        <v>522</v>
      </c>
      <c r="G34" s="114"/>
      <c r="H34" s="111">
        <v>4772687</v>
      </c>
      <c r="I34" s="285">
        <v>1.3413767516794615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1"/>
      <c r="U34" s="393"/>
    </row>
    <row r="35" spans="1:21" ht="14.25">
      <c r="A35" s="296"/>
      <c r="B35" s="108"/>
      <c r="C35" s="108"/>
      <c r="D35" s="108" t="s">
        <v>47</v>
      </c>
      <c r="E35" s="109"/>
      <c r="F35" s="114" t="s">
        <v>523</v>
      </c>
      <c r="G35" s="114"/>
      <c r="H35" s="111">
        <v>16598670</v>
      </c>
      <c r="I35" s="285">
        <v>4.6651016600919624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1"/>
      <c r="U35" s="393"/>
    </row>
    <row r="36" spans="1:21" ht="14.25">
      <c r="A36" s="296"/>
      <c r="B36" s="108"/>
      <c r="C36" s="108"/>
      <c r="D36" s="108" t="s">
        <v>524</v>
      </c>
      <c r="E36" s="109"/>
      <c r="F36" s="114" t="s">
        <v>525</v>
      </c>
      <c r="G36" s="114"/>
      <c r="H36" s="111">
        <v>-11825983</v>
      </c>
      <c r="I36" s="285">
        <v>-3.3237249084125011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1"/>
      <c r="U36" s="393"/>
    </row>
    <row r="37" spans="1:21" ht="14.25">
      <c r="A37" s="296"/>
      <c r="B37" s="108"/>
      <c r="C37" s="108" t="s">
        <v>48</v>
      </c>
      <c r="D37" s="108"/>
      <c r="E37" s="109"/>
      <c r="F37" s="114" t="s">
        <v>526</v>
      </c>
      <c r="G37" s="114"/>
      <c r="H37" s="111">
        <v>1018764</v>
      </c>
      <c r="I37" s="285">
        <v>0.28632641215482496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1"/>
      <c r="U37" s="393"/>
    </row>
    <row r="38" spans="1:21" ht="14.25">
      <c r="A38" s="296"/>
      <c r="B38" s="108"/>
      <c r="C38" s="108"/>
      <c r="D38" s="108" t="s">
        <v>48</v>
      </c>
      <c r="E38" s="109"/>
      <c r="F38" s="114" t="s">
        <v>527</v>
      </c>
      <c r="G38" s="114"/>
      <c r="H38" s="111">
        <v>4266837</v>
      </c>
      <c r="I38" s="285">
        <v>1.1992062238746724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1"/>
      <c r="U38" s="393"/>
    </row>
    <row r="39" spans="1:21" ht="14.25">
      <c r="A39" s="296"/>
      <c r="B39" s="108"/>
      <c r="C39" s="108"/>
      <c r="D39" s="108" t="s">
        <v>528</v>
      </c>
      <c r="E39" s="109"/>
      <c r="F39" s="114" t="s">
        <v>529</v>
      </c>
      <c r="G39" s="114"/>
      <c r="H39" s="111">
        <v>-3248073</v>
      </c>
      <c r="I39" s="285">
        <v>-0.91287981171984744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1"/>
      <c r="U39" s="393"/>
    </row>
    <row r="40" spans="1:21" ht="14.25">
      <c r="A40" s="552"/>
      <c r="B40" s="553"/>
      <c r="C40" s="553" t="s">
        <v>196</v>
      </c>
      <c r="D40" s="553"/>
      <c r="E40" s="554"/>
      <c r="F40" s="555" t="s">
        <v>530</v>
      </c>
      <c r="G40" s="555"/>
      <c r="H40" s="556">
        <v>14435127</v>
      </c>
      <c r="I40" s="557">
        <v>4.0570319749316246</v>
      </c>
      <c r="J40" s="118"/>
      <c r="K40" s="553"/>
      <c r="L40" s="553"/>
      <c r="M40" s="553"/>
      <c r="N40" s="553"/>
      <c r="O40" s="554"/>
      <c r="P40" s="554"/>
      <c r="Q40" s="558"/>
      <c r="R40" s="555"/>
      <c r="S40" s="555"/>
      <c r="T40" s="559"/>
      <c r="U40" s="560"/>
    </row>
    <row r="41" spans="1:21" ht="14.25">
      <c r="A41" s="101"/>
      <c r="B41" s="102"/>
      <c r="C41" s="102"/>
      <c r="D41" s="102" t="s">
        <v>196</v>
      </c>
      <c r="E41" s="103"/>
      <c r="F41" s="104" t="s">
        <v>531</v>
      </c>
      <c r="G41" s="104"/>
      <c r="H41" s="105">
        <v>40856683</v>
      </c>
      <c r="I41" s="284">
        <v>11.482882645968084</v>
      </c>
      <c r="J41" s="364"/>
      <c r="K41" s="102"/>
      <c r="L41" s="102"/>
      <c r="M41" s="102"/>
      <c r="N41" s="102"/>
      <c r="O41" s="103"/>
      <c r="P41" s="103"/>
      <c r="Q41" s="106"/>
      <c r="R41" s="104"/>
      <c r="S41" s="104"/>
      <c r="T41" s="561"/>
      <c r="U41" s="392"/>
    </row>
    <row r="42" spans="1:21" ht="14.25">
      <c r="A42" s="296"/>
      <c r="B42" s="108"/>
      <c r="C42" s="108"/>
      <c r="D42" s="108" t="s">
        <v>532</v>
      </c>
      <c r="E42" s="109"/>
      <c r="F42" s="114" t="s">
        <v>533</v>
      </c>
      <c r="G42" s="114"/>
      <c r="H42" s="111">
        <v>-26421556</v>
      </c>
      <c r="I42" s="285">
        <v>-7.4258506710364598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1"/>
      <c r="U42" s="393"/>
    </row>
    <row r="43" spans="1:21" ht="14.25">
      <c r="A43" s="296"/>
      <c r="B43" s="108" t="s">
        <v>534</v>
      </c>
      <c r="C43" s="108"/>
      <c r="D43" s="108"/>
      <c r="E43" s="109"/>
      <c r="F43" s="114" t="s">
        <v>535</v>
      </c>
      <c r="G43" s="114"/>
      <c r="H43" s="111">
        <v>219828</v>
      </c>
      <c r="I43" s="285">
        <v>6.1783261413998584E-2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1"/>
      <c r="U43" s="393"/>
    </row>
    <row r="44" spans="1:21" ht="14.25">
      <c r="A44" s="296"/>
      <c r="B44" s="108"/>
      <c r="C44" s="108" t="s">
        <v>534</v>
      </c>
      <c r="D44" s="108"/>
      <c r="E44" s="109"/>
      <c r="F44" s="114" t="s">
        <v>536</v>
      </c>
      <c r="G44" s="114"/>
      <c r="H44" s="111">
        <v>219828</v>
      </c>
      <c r="I44" s="285">
        <v>6.1783261413998584E-2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1"/>
      <c r="U44" s="393"/>
    </row>
    <row r="45" spans="1:21" ht="14.25">
      <c r="A45" s="296"/>
      <c r="B45" s="108"/>
      <c r="C45" s="108"/>
      <c r="D45" s="108" t="s">
        <v>434</v>
      </c>
      <c r="E45" s="109"/>
      <c r="F45" s="114" t="s">
        <v>537</v>
      </c>
      <c r="G45" s="114"/>
      <c r="H45" s="111">
        <v>219828</v>
      </c>
      <c r="I45" s="285">
        <v>6.1783261413998584E-2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1"/>
      <c r="U45" s="393"/>
    </row>
    <row r="46" spans="1:21" ht="14.25">
      <c r="A46" s="296" t="s">
        <v>538</v>
      </c>
      <c r="B46" s="108"/>
      <c r="C46" s="108"/>
      <c r="D46" s="108"/>
      <c r="E46" s="109"/>
      <c r="F46" s="114"/>
      <c r="G46" s="114"/>
      <c r="H46" s="111">
        <v>355805108</v>
      </c>
      <c r="I46" s="285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1"/>
      <c r="U46" s="393"/>
    </row>
    <row r="47" spans="1:21" ht="11.65" customHeight="1">
      <c r="A47" s="107"/>
      <c r="B47" s="115"/>
      <c r="C47" s="115"/>
      <c r="D47" s="115"/>
      <c r="E47" s="116"/>
      <c r="F47" s="110"/>
      <c r="G47" s="110"/>
      <c r="H47" s="111"/>
      <c r="I47" s="286"/>
      <c r="J47" s="107"/>
      <c r="K47" s="115"/>
      <c r="L47" s="115"/>
      <c r="M47" s="115"/>
      <c r="N47" s="115"/>
      <c r="O47" s="116"/>
      <c r="P47" s="116"/>
      <c r="Q47" s="117"/>
      <c r="R47" s="107"/>
      <c r="S47" s="107"/>
      <c r="T47" s="112"/>
      <c r="U47" s="393"/>
    </row>
    <row r="48" spans="1:21" ht="11.65" customHeight="1">
      <c r="A48" s="118"/>
      <c r="B48" s="119"/>
      <c r="C48" s="119"/>
      <c r="D48" s="119"/>
      <c r="E48" s="120"/>
      <c r="F48" s="118"/>
      <c r="G48" s="118"/>
      <c r="H48" s="121"/>
      <c r="I48" s="287"/>
      <c r="J48" s="118"/>
      <c r="K48" s="119"/>
      <c r="L48" s="119"/>
      <c r="M48" s="119"/>
      <c r="N48" s="119"/>
      <c r="O48" s="120"/>
      <c r="P48" s="120"/>
      <c r="Q48" s="121"/>
      <c r="R48" s="118"/>
      <c r="S48" s="118"/>
      <c r="T48" s="121"/>
      <c r="U48" s="287"/>
    </row>
    <row r="49" spans="1:20" ht="14.25" customHeight="1">
      <c r="A49" s="717" t="s">
        <v>310</v>
      </c>
      <c r="B49" s="717"/>
      <c r="C49" s="717"/>
      <c r="D49" s="717"/>
      <c r="E49" s="717"/>
      <c r="F49" s="717"/>
      <c r="G49" s="718">
        <v>0</v>
      </c>
      <c r="H49" s="718"/>
      <c r="L49" s="717" t="s">
        <v>311</v>
      </c>
      <c r="M49" s="717"/>
      <c r="N49" s="717"/>
      <c r="O49" s="717"/>
      <c r="P49" s="717"/>
      <c r="Q49" s="717"/>
      <c r="R49" s="717"/>
      <c r="S49" s="718">
        <v>0</v>
      </c>
      <c r="T49" s="718"/>
    </row>
    <row r="50" spans="1:20" ht="14.25">
      <c r="A50" s="713" t="s">
        <v>8</v>
      </c>
      <c r="B50" s="713"/>
      <c r="D50" s="395" t="s">
        <v>436</v>
      </c>
    </row>
  </sheetData>
  <mergeCells count="19">
    <mergeCell ref="A50:B50"/>
    <mergeCell ref="T9:T11"/>
    <mergeCell ref="U9:U11"/>
    <mergeCell ref="A49:F49"/>
    <mergeCell ref="G49:H49"/>
    <mergeCell ref="L49:R49"/>
    <mergeCell ref="S49:T49"/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A31" sqref="A31:XFD31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25" t="str">
        <f>封面!$A$4</f>
        <v>彰化縣地方教育發展基金－彰化縣彰化市民生國民小學</v>
      </c>
      <c r="B1" s="726"/>
      <c r="C1" s="726"/>
      <c r="D1" s="726"/>
      <c r="E1" s="726"/>
      <c r="F1" s="726"/>
      <c r="G1" s="726"/>
      <c r="H1" s="726"/>
      <c r="I1" s="726"/>
      <c r="J1" s="726"/>
      <c r="K1" s="726"/>
      <c r="L1" s="726"/>
      <c r="M1" s="727"/>
    </row>
    <row r="2" spans="1:13">
      <c r="A2" s="726"/>
      <c r="B2" s="726"/>
      <c r="C2" s="726"/>
      <c r="D2" s="726"/>
      <c r="E2" s="726"/>
      <c r="F2" s="726"/>
      <c r="G2" s="726"/>
      <c r="H2" s="726"/>
      <c r="I2" s="726"/>
      <c r="J2" s="726"/>
      <c r="K2" s="726"/>
      <c r="L2" s="726"/>
      <c r="M2" s="727"/>
    </row>
    <row r="3" spans="1:13">
      <c r="M3" s="193"/>
    </row>
    <row r="4" spans="1:13" ht="23.25" customHeight="1">
      <c r="A4" s="728" t="s">
        <v>27</v>
      </c>
      <c r="B4" s="728"/>
      <c r="C4" s="728"/>
      <c r="D4" s="728"/>
      <c r="E4" s="728"/>
      <c r="F4" s="728"/>
      <c r="G4" s="728"/>
      <c r="H4" s="728"/>
      <c r="I4" s="728"/>
      <c r="J4" s="728"/>
      <c r="K4" s="728"/>
      <c r="L4" s="728"/>
      <c r="M4" s="728"/>
    </row>
    <row r="5" spans="1:13" ht="2.25" customHeight="1">
      <c r="A5" s="728"/>
      <c r="B5" s="728"/>
      <c r="C5" s="728"/>
      <c r="D5" s="728"/>
      <c r="E5" s="728"/>
      <c r="F5" s="728"/>
      <c r="G5" s="728"/>
      <c r="H5" s="728"/>
      <c r="I5" s="728"/>
      <c r="J5" s="728"/>
      <c r="K5" s="728"/>
      <c r="L5" s="728"/>
      <c r="M5" s="728"/>
    </row>
    <row r="6" spans="1:13" ht="16.5">
      <c r="A6" s="729" t="str">
        <f>封面!$E$10&amp;封面!$H$10&amp;封面!$I$10&amp;封面!$J$10&amp;封面!$K$10&amp;封面!L10</f>
        <v>中華民國114年5月份</v>
      </c>
      <c r="B6" s="729"/>
      <c r="C6" s="729"/>
      <c r="D6" s="729"/>
      <c r="E6" s="729"/>
      <c r="F6" s="729"/>
      <c r="G6" s="729"/>
      <c r="H6" s="729"/>
      <c r="I6" s="729"/>
      <c r="J6" s="729"/>
      <c r="K6" s="729"/>
      <c r="L6" s="729"/>
      <c r="M6" s="729"/>
    </row>
    <row r="7" spans="1:13" ht="10.5" customHeight="1"/>
    <row r="8" spans="1:13" ht="16.5">
      <c r="A8" s="695" t="s">
        <v>1</v>
      </c>
      <c r="B8" s="695"/>
      <c r="C8" s="695"/>
      <c r="D8" s="695"/>
      <c r="E8" s="695"/>
      <c r="F8" s="695"/>
      <c r="G8" s="695"/>
      <c r="H8" s="695"/>
      <c r="I8" s="695"/>
      <c r="J8" s="695"/>
      <c r="K8" s="695"/>
      <c r="L8" s="695"/>
      <c r="M8" s="695"/>
    </row>
    <row r="9" spans="1:13" ht="1.5" customHeight="1"/>
    <row r="10" spans="1:13" s="5" customFormat="1" ht="32.25" customHeight="1">
      <c r="A10" s="15"/>
      <c r="B10" s="719" t="s">
        <v>28</v>
      </c>
      <c r="C10" s="720"/>
      <c r="D10" s="721" t="s">
        <v>29</v>
      </c>
      <c r="E10" s="724" t="s">
        <v>30</v>
      </c>
      <c r="F10" s="719"/>
      <c r="G10" s="719"/>
      <c r="H10" s="730" t="s">
        <v>201</v>
      </c>
      <c r="I10" s="731"/>
      <c r="J10" s="731"/>
      <c r="K10" s="731"/>
      <c r="L10" s="731"/>
      <c r="M10" s="67"/>
    </row>
    <row r="11" spans="1:13" s="5" customFormat="1" ht="16.5" hidden="1" customHeight="1">
      <c r="B11" s="732" t="s">
        <v>31</v>
      </c>
      <c r="C11" s="721" t="s">
        <v>32</v>
      </c>
      <c r="D11" s="722"/>
      <c r="E11" s="721" t="s">
        <v>33</v>
      </c>
      <c r="F11" s="721" t="s">
        <v>34</v>
      </c>
      <c r="G11" s="721" t="s">
        <v>35</v>
      </c>
      <c r="H11" s="721" t="s">
        <v>33</v>
      </c>
      <c r="I11" s="721" t="s">
        <v>34</v>
      </c>
      <c r="J11" s="736" t="s">
        <v>193</v>
      </c>
      <c r="K11" s="737"/>
      <c r="L11" s="738"/>
      <c r="M11" s="124"/>
    </row>
    <row r="12" spans="1:13" s="5" customFormat="1" ht="16.5">
      <c r="A12" s="15"/>
      <c r="B12" s="733"/>
      <c r="C12" s="734"/>
      <c r="D12" s="723"/>
      <c r="E12" s="734"/>
      <c r="F12" s="734"/>
      <c r="G12" s="734"/>
      <c r="H12" s="735"/>
      <c r="I12" s="735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3"/>
      <c r="D13" s="293"/>
      <c r="E13" s="293"/>
      <c r="H13" s="13"/>
      <c r="I13" s="13"/>
      <c r="J13" s="13"/>
      <c r="K13" s="13"/>
      <c r="L13" s="13"/>
      <c r="M13" s="13"/>
    </row>
    <row r="14" spans="1:13" hidden="1">
      <c r="C14" s="293"/>
      <c r="D14" s="293"/>
      <c r="E14" s="293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3"/>
      <c r="D15" s="334" t="s">
        <v>36</v>
      </c>
      <c r="E15" s="335"/>
      <c r="F15" s="234"/>
      <c r="G15" s="235"/>
      <c r="H15" s="236">
        <v>10828110</v>
      </c>
      <c r="I15" s="236">
        <v>9506000</v>
      </c>
      <c r="J15" s="236">
        <v>1322110</v>
      </c>
      <c r="K15" s="236"/>
      <c r="L15" s="237">
        <v>13.91</v>
      </c>
      <c r="M15" s="122"/>
    </row>
    <row r="16" spans="1:13" ht="12.75" hidden="1" customHeight="1">
      <c r="A16" s="6"/>
      <c r="B16" s="129"/>
      <c r="C16" s="319"/>
      <c r="D16" s="320"/>
      <c r="E16" s="321"/>
      <c r="F16" s="69"/>
      <c r="G16" s="69"/>
      <c r="H16" s="234"/>
      <c r="I16" s="234"/>
      <c r="J16" s="234"/>
      <c r="K16" s="234"/>
      <c r="L16" s="234"/>
      <c r="M16" s="123"/>
    </row>
    <row r="17" spans="1:13" ht="21" customHeight="1">
      <c r="A17" s="7"/>
      <c r="B17" s="130"/>
      <c r="C17" s="336"/>
      <c r="D17" s="538" t="s">
        <v>37</v>
      </c>
      <c r="E17" s="335"/>
      <c r="F17" s="234"/>
      <c r="G17" s="235"/>
      <c r="H17" s="236">
        <v>66912321</v>
      </c>
      <c r="I17" s="236">
        <v>68065000</v>
      </c>
      <c r="J17" s="236">
        <v>-1152679</v>
      </c>
      <c r="K17" s="236"/>
      <c r="L17" s="237">
        <v>-1.69</v>
      </c>
      <c r="M17" s="122"/>
    </row>
    <row r="18" spans="1:13" ht="12.75" customHeight="1">
      <c r="C18" s="320"/>
      <c r="D18" s="499"/>
      <c r="E18" s="321"/>
      <c r="F18" s="69"/>
      <c r="G18" s="69"/>
      <c r="H18" s="502"/>
      <c r="I18" s="502"/>
      <c r="J18" s="502"/>
      <c r="K18" s="502"/>
      <c r="L18" s="502"/>
      <c r="M18" s="501"/>
    </row>
    <row r="19" spans="1:13" ht="12.75" customHeight="1">
      <c r="C19" s="320"/>
      <c r="D19" s="320"/>
      <c r="E19" s="321"/>
      <c r="F19" s="69"/>
      <c r="G19" s="69"/>
      <c r="H19" s="503"/>
      <c r="I19" s="503"/>
      <c r="J19" s="503"/>
      <c r="K19" s="503"/>
      <c r="L19" s="503"/>
      <c r="M19" s="501"/>
    </row>
    <row r="20" spans="1:13" ht="21" customHeight="1">
      <c r="A20" s="11"/>
      <c r="B20" s="16" t="s">
        <v>23</v>
      </c>
      <c r="C20" s="333"/>
      <c r="D20" s="334" t="s">
        <v>36</v>
      </c>
      <c r="E20" s="335"/>
      <c r="F20" s="234"/>
      <c r="G20" s="82"/>
      <c r="H20" s="236">
        <v>0</v>
      </c>
      <c r="I20" s="236">
        <v>50000</v>
      </c>
      <c r="J20" s="236">
        <v>-50000</v>
      </c>
      <c r="K20" s="236"/>
      <c r="L20" s="562">
        <v>-100</v>
      </c>
      <c r="M20" s="122"/>
    </row>
    <row r="21" spans="1:13" ht="12.75" hidden="1" customHeight="1">
      <c r="A21" s="6"/>
      <c r="B21" s="129"/>
      <c r="C21" s="319"/>
      <c r="D21" s="320"/>
      <c r="E21" s="321"/>
      <c r="F21" s="69"/>
      <c r="G21" s="69"/>
      <c r="H21" s="234"/>
      <c r="I21" s="234"/>
      <c r="J21" s="234"/>
      <c r="K21" s="234"/>
      <c r="L21" s="234"/>
      <c r="M21" s="123"/>
    </row>
    <row r="22" spans="1:13" ht="21" customHeight="1">
      <c r="A22" s="7"/>
      <c r="B22" s="130"/>
      <c r="C22" s="336"/>
      <c r="D22" s="538" t="s">
        <v>37</v>
      </c>
      <c r="E22" s="335"/>
      <c r="F22" s="234"/>
      <c r="G22" s="82"/>
      <c r="H22" s="236">
        <v>0</v>
      </c>
      <c r="I22" s="236">
        <v>100000</v>
      </c>
      <c r="J22" s="236">
        <v>-100000</v>
      </c>
      <c r="K22" s="236"/>
      <c r="L22" s="562">
        <v>-100</v>
      </c>
      <c r="M22" s="122"/>
    </row>
    <row r="23" spans="1:13" ht="12.75" customHeight="1">
      <c r="D23" s="500"/>
      <c r="E23" s="69"/>
      <c r="F23" s="69"/>
      <c r="G23" s="69"/>
      <c r="H23" s="502"/>
      <c r="I23" s="502"/>
      <c r="J23" s="502"/>
      <c r="K23" s="502"/>
      <c r="L23" s="502"/>
      <c r="M23" s="501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A31" sqref="A31:XFD31"/>
    </sheetView>
  </sheetViews>
  <sheetFormatPr defaultColWidth="9.140625" defaultRowHeight="15.75"/>
  <cols>
    <col min="1" max="1" width="25.42578125" style="205" customWidth="1"/>
    <col min="2" max="7" width="17" style="49" customWidth="1"/>
    <col min="8" max="16384" width="9.140625" style="49"/>
  </cols>
  <sheetData>
    <row r="1" spans="1:11" s="69" customFormat="1" ht="19.5">
      <c r="A1" s="740" t="str">
        <f>封面!$A$4</f>
        <v>彰化縣地方教育發展基金－彰化縣彰化市民生國民小學</v>
      </c>
      <c r="B1" s="740"/>
      <c r="C1" s="740"/>
      <c r="D1" s="740"/>
      <c r="E1" s="740"/>
      <c r="F1" s="740"/>
      <c r="G1" s="741"/>
      <c r="J1" s="200"/>
      <c r="K1" s="181"/>
    </row>
    <row r="2" spans="1:11" s="69" customFormat="1" ht="19.5" hidden="1">
      <c r="A2" s="203"/>
      <c r="B2" s="9"/>
      <c r="C2" s="9"/>
      <c r="D2" s="9"/>
      <c r="E2" s="9"/>
      <c r="F2" s="9"/>
      <c r="J2" s="200"/>
      <c r="K2" s="181"/>
    </row>
    <row r="3" spans="1:11" s="69" customFormat="1" ht="14.25" hidden="1" customHeight="1">
      <c r="A3" s="204"/>
      <c r="J3" s="200"/>
      <c r="K3" s="181"/>
    </row>
    <row r="4" spans="1:11" s="69" customFormat="1" ht="21">
      <c r="A4" s="744" t="s">
        <v>261</v>
      </c>
      <c r="B4" s="744"/>
      <c r="C4" s="744"/>
      <c r="D4" s="744"/>
      <c r="E4" s="744"/>
      <c r="F4" s="744"/>
      <c r="G4" s="741"/>
      <c r="J4" s="200"/>
      <c r="K4" s="181"/>
    </row>
    <row r="5" spans="1:11" s="69" customFormat="1" ht="6.75" customHeight="1">
      <c r="A5" s="204"/>
      <c r="J5" s="200"/>
      <c r="K5" s="181"/>
    </row>
    <row r="6" spans="1:11" s="69" customFormat="1" ht="16.5">
      <c r="A6" s="743" t="str">
        <f>封面!$E$10&amp;封面!$H$10&amp;封面!$I$10&amp;封面!$J$10&amp;封面!$K$10&amp;封面!L10</f>
        <v>中華民國114年5月份</v>
      </c>
      <c r="B6" s="743"/>
      <c r="C6" s="743"/>
      <c r="D6" s="743"/>
      <c r="E6" s="743"/>
      <c r="F6" s="743"/>
      <c r="G6" s="741"/>
      <c r="J6" s="200"/>
      <c r="K6" s="181"/>
    </row>
    <row r="7" spans="1:11" s="69" customFormat="1" ht="14.25" customHeight="1">
      <c r="A7" s="695" t="s">
        <v>39</v>
      </c>
      <c r="B7" s="695"/>
      <c r="C7" s="695"/>
      <c r="D7" s="695"/>
      <c r="E7" s="695"/>
      <c r="F7" s="695"/>
      <c r="G7" s="741"/>
      <c r="J7" s="200"/>
      <c r="K7" s="181"/>
    </row>
    <row r="8" spans="1:11" s="201" customFormat="1" ht="28.5" customHeight="1">
      <c r="A8" s="689" t="s">
        <v>211</v>
      </c>
      <c r="B8" s="689" t="s">
        <v>262</v>
      </c>
      <c r="C8" s="689" t="s">
        <v>263</v>
      </c>
      <c r="D8" s="745" t="s">
        <v>266</v>
      </c>
      <c r="E8" s="746"/>
      <c r="F8" s="683" t="s">
        <v>267</v>
      </c>
      <c r="G8" s="677" t="s">
        <v>268</v>
      </c>
    </row>
    <row r="9" spans="1:11" s="202" customFormat="1" ht="28.5" customHeight="1">
      <c r="A9" s="742"/>
      <c r="B9" s="742"/>
      <c r="C9" s="742"/>
      <c r="D9" s="277" t="s">
        <v>264</v>
      </c>
      <c r="E9" s="277" t="s">
        <v>265</v>
      </c>
      <c r="F9" s="739"/>
      <c r="G9" s="747"/>
    </row>
    <row r="10" spans="1:11">
      <c r="A10" s="206" t="s">
        <v>203</v>
      </c>
      <c r="B10" s="238">
        <f t="shared" ref="B10:G10" si="0">SUM(B12:B40)</f>
        <v>515277038</v>
      </c>
      <c r="C10" s="238">
        <f t="shared" si="0"/>
        <v>180782975</v>
      </c>
      <c r="D10" s="278">
        <f t="shared" si="0"/>
        <v>839595</v>
      </c>
      <c r="E10" s="278">
        <f t="shared" si="0"/>
        <v>879319</v>
      </c>
      <c r="F10" s="278">
        <f t="shared" si="0"/>
        <v>4085378</v>
      </c>
      <c r="G10" s="278">
        <f t="shared" si="0"/>
        <v>330368961</v>
      </c>
    </row>
    <row r="11" spans="1:11" ht="15.75" hidden="1" customHeight="1">
      <c r="A11" s="207"/>
      <c r="B11" s="239"/>
      <c r="C11" s="239"/>
      <c r="D11" s="279"/>
      <c r="E11" s="279"/>
      <c r="F11" s="279"/>
      <c r="G11" s="279"/>
    </row>
    <row r="12" spans="1:11">
      <c r="A12" s="208" t="s">
        <v>204</v>
      </c>
      <c r="B12" s="239"/>
      <c r="C12" s="239"/>
      <c r="D12" s="279"/>
      <c r="E12" s="279"/>
      <c r="F12" s="279"/>
      <c r="G12" s="279">
        <f>B12-C12+D12-E12-F12</f>
        <v>0</v>
      </c>
    </row>
    <row r="13" spans="1:11" ht="15.75" hidden="1" customHeight="1">
      <c r="A13" s="208"/>
      <c r="B13" s="239"/>
      <c r="C13" s="318"/>
      <c r="D13" s="353"/>
      <c r="E13" s="353"/>
      <c r="F13" s="279"/>
      <c r="G13" s="279">
        <f t="shared" ref="G13:G41" si="1">B13-C13+D13-E13-F13</f>
        <v>0</v>
      </c>
    </row>
    <row r="14" spans="1:11">
      <c r="A14" s="208" t="s">
        <v>205</v>
      </c>
      <c r="B14" s="239">
        <v>169277745</v>
      </c>
      <c r="C14" s="354"/>
      <c r="D14" s="353"/>
      <c r="E14" s="353"/>
      <c r="F14" s="279"/>
      <c r="G14" s="279">
        <f t="shared" si="1"/>
        <v>169277745</v>
      </c>
    </row>
    <row r="15" spans="1:11" ht="15.75" hidden="1" customHeight="1">
      <c r="A15" s="208"/>
      <c r="B15" s="239"/>
      <c r="C15" s="354"/>
      <c r="D15" s="353"/>
      <c r="E15" s="353"/>
      <c r="F15" s="279"/>
      <c r="G15" s="279">
        <f t="shared" si="1"/>
        <v>0</v>
      </c>
    </row>
    <row r="16" spans="1:11">
      <c r="A16" s="208" t="s">
        <v>206</v>
      </c>
      <c r="B16" s="355">
        <v>27169487</v>
      </c>
      <c r="C16" s="356">
        <v>12789502</v>
      </c>
      <c r="D16" s="354"/>
      <c r="E16" s="353"/>
      <c r="F16" s="356">
        <v>779985</v>
      </c>
      <c r="G16" s="279">
        <f t="shared" si="1"/>
        <v>13600000</v>
      </c>
    </row>
    <row r="17" spans="1:7" ht="15.75" hidden="1" customHeight="1">
      <c r="A17" s="208"/>
      <c r="B17" s="354"/>
      <c r="C17" s="354"/>
      <c r="D17" s="354"/>
      <c r="E17" s="353"/>
      <c r="F17" s="356"/>
      <c r="G17" s="279">
        <f t="shared" si="1"/>
        <v>0</v>
      </c>
    </row>
    <row r="18" spans="1:7">
      <c r="A18" s="208" t="s">
        <v>207</v>
      </c>
      <c r="B18" s="355">
        <v>256848064</v>
      </c>
      <c r="C18" s="356">
        <v>127900259</v>
      </c>
      <c r="D18" s="353"/>
      <c r="E18" s="353"/>
      <c r="F18" s="356">
        <v>1902995</v>
      </c>
      <c r="G18" s="279">
        <f t="shared" si="1"/>
        <v>127044810</v>
      </c>
    </row>
    <row r="19" spans="1:7" ht="15.75" hidden="1" customHeight="1">
      <c r="A19" s="208"/>
      <c r="B19" s="354"/>
      <c r="C19" s="354"/>
      <c r="D19" s="354"/>
      <c r="E19" s="353"/>
      <c r="F19" s="356"/>
      <c r="G19" s="279">
        <f t="shared" si="1"/>
        <v>0</v>
      </c>
    </row>
    <row r="20" spans="1:7">
      <c r="A20" s="208" t="s">
        <v>208</v>
      </c>
      <c r="B20" s="355">
        <v>16717182</v>
      </c>
      <c r="C20" s="356">
        <v>11495514</v>
      </c>
      <c r="D20" s="356">
        <v>317238</v>
      </c>
      <c r="E20" s="353">
        <v>435750</v>
      </c>
      <c r="F20" s="356">
        <v>330469</v>
      </c>
      <c r="G20" s="279">
        <f t="shared" si="1"/>
        <v>4772687</v>
      </c>
    </row>
    <row r="21" spans="1:7" ht="15.75" hidden="1" customHeight="1">
      <c r="A21" s="208"/>
      <c r="B21" s="354"/>
      <c r="C21" s="354"/>
      <c r="D21" s="354"/>
      <c r="E21" s="353"/>
      <c r="F21" s="356"/>
      <c r="G21" s="279">
        <f t="shared" si="1"/>
        <v>0</v>
      </c>
    </row>
    <row r="22" spans="1:7">
      <c r="A22" s="208" t="s">
        <v>209</v>
      </c>
      <c r="B22" s="355">
        <v>4172797</v>
      </c>
      <c r="C22" s="356">
        <v>3069218</v>
      </c>
      <c r="D22" s="356">
        <v>94040</v>
      </c>
      <c r="E22" s="353"/>
      <c r="F22" s="356">
        <v>178855</v>
      </c>
      <c r="G22" s="279">
        <f t="shared" si="1"/>
        <v>1018764</v>
      </c>
    </row>
    <row r="23" spans="1:7" ht="15.75" hidden="1" customHeight="1">
      <c r="A23" s="208"/>
      <c r="B23" s="354"/>
      <c r="C23" s="354"/>
      <c r="D23" s="354"/>
      <c r="E23" s="279"/>
      <c r="F23" s="356"/>
      <c r="G23" s="279">
        <f t="shared" si="1"/>
        <v>0</v>
      </c>
    </row>
    <row r="24" spans="1:7">
      <c r="A24" s="208" t="s">
        <v>210</v>
      </c>
      <c r="B24" s="355">
        <v>40840420</v>
      </c>
      <c r="C24" s="356">
        <v>25528482</v>
      </c>
      <c r="D24" s="356">
        <v>428317</v>
      </c>
      <c r="E24" s="279">
        <v>412054</v>
      </c>
      <c r="F24" s="356">
        <v>893074</v>
      </c>
      <c r="G24" s="279">
        <f t="shared" si="1"/>
        <v>14435127</v>
      </c>
    </row>
    <row r="25" spans="1:7" ht="15.75" hidden="1" customHeight="1">
      <c r="A25" s="208"/>
      <c r="B25" s="239"/>
      <c r="C25" s="239"/>
      <c r="D25" s="279"/>
      <c r="E25" s="279"/>
      <c r="F25" s="279"/>
      <c r="G25" s="279">
        <f t="shared" si="1"/>
        <v>0</v>
      </c>
    </row>
    <row r="26" spans="1:7">
      <c r="A26" s="208" t="s">
        <v>431</v>
      </c>
      <c r="B26" s="239"/>
      <c r="C26" s="239"/>
      <c r="D26" s="279"/>
      <c r="E26" s="279"/>
      <c r="F26" s="279"/>
      <c r="G26" s="279">
        <f t="shared" si="1"/>
        <v>0</v>
      </c>
    </row>
    <row r="27" spans="1:7" ht="15.75" hidden="1" customHeight="1">
      <c r="A27" s="208"/>
      <c r="B27" s="239"/>
      <c r="C27" s="239"/>
      <c r="D27" s="279"/>
      <c r="E27" s="279"/>
      <c r="F27" s="279"/>
      <c r="G27" s="279">
        <f t="shared" si="1"/>
        <v>0</v>
      </c>
    </row>
    <row r="28" spans="1:7">
      <c r="A28" s="208" t="s">
        <v>432</v>
      </c>
      <c r="B28" s="239"/>
      <c r="C28" s="239"/>
      <c r="D28" s="279"/>
      <c r="E28" s="279"/>
      <c r="F28" s="279"/>
      <c r="G28" s="279">
        <f t="shared" si="1"/>
        <v>0</v>
      </c>
    </row>
    <row r="29" spans="1:7" ht="15.75" hidden="1" customHeight="1">
      <c r="A29" s="208"/>
      <c r="B29" s="239"/>
      <c r="C29" s="239"/>
      <c r="D29" s="279"/>
      <c r="E29" s="279"/>
      <c r="F29" s="279"/>
      <c r="G29" s="279">
        <f t="shared" si="1"/>
        <v>0</v>
      </c>
    </row>
    <row r="30" spans="1:7">
      <c r="A30" s="208" t="s">
        <v>433</v>
      </c>
      <c r="B30" s="239"/>
      <c r="C30" s="239"/>
      <c r="D30" s="279"/>
      <c r="E30" s="279"/>
      <c r="F30" s="279"/>
      <c r="G30" s="279">
        <f t="shared" si="1"/>
        <v>0</v>
      </c>
    </row>
    <row r="31" spans="1:7" hidden="1">
      <c r="A31" s="208"/>
      <c r="B31" s="239"/>
      <c r="C31" s="239"/>
      <c r="D31" s="279"/>
      <c r="E31" s="279"/>
      <c r="F31" s="279"/>
      <c r="G31" s="279">
        <f t="shared" si="1"/>
        <v>0</v>
      </c>
    </row>
    <row r="32" spans="1:7">
      <c r="A32" s="208" t="s">
        <v>49</v>
      </c>
      <c r="B32" s="239"/>
      <c r="C32" s="239"/>
      <c r="D32" s="279"/>
      <c r="E32" s="279"/>
      <c r="F32" s="279"/>
      <c r="G32" s="279">
        <f t="shared" si="1"/>
        <v>0</v>
      </c>
    </row>
    <row r="33" spans="1:7" hidden="1">
      <c r="A33" s="208"/>
      <c r="B33" s="239"/>
      <c r="C33" s="239"/>
      <c r="D33" s="279"/>
      <c r="E33" s="279"/>
      <c r="F33" s="279"/>
      <c r="G33" s="279">
        <f t="shared" si="1"/>
        <v>0</v>
      </c>
    </row>
    <row r="34" spans="1:7">
      <c r="A34" s="208" t="s">
        <v>198</v>
      </c>
      <c r="B34" s="239"/>
      <c r="C34" s="239"/>
      <c r="D34" s="279"/>
      <c r="E34" s="279"/>
      <c r="F34" s="279"/>
      <c r="G34" s="279">
        <f t="shared" si="1"/>
        <v>0</v>
      </c>
    </row>
    <row r="35" spans="1:7">
      <c r="A35" s="208" t="s">
        <v>50</v>
      </c>
      <c r="B35" s="239"/>
      <c r="C35" s="239"/>
      <c r="D35" s="279"/>
      <c r="E35" s="279"/>
      <c r="F35" s="279"/>
      <c r="G35" s="279">
        <f t="shared" si="1"/>
        <v>0</v>
      </c>
    </row>
    <row r="36" spans="1:7" hidden="1">
      <c r="A36" s="208"/>
      <c r="B36" s="239"/>
      <c r="C36" s="239"/>
      <c r="D36" s="279"/>
      <c r="E36" s="279"/>
      <c r="F36" s="279"/>
      <c r="G36" s="279">
        <f t="shared" si="1"/>
        <v>0</v>
      </c>
    </row>
    <row r="37" spans="1:7">
      <c r="A37" s="208" t="s">
        <v>434</v>
      </c>
      <c r="B37" s="239">
        <v>251343</v>
      </c>
      <c r="C37" s="239"/>
      <c r="D37" s="279"/>
      <c r="E37" s="279">
        <v>31515</v>
      </c>
      <c r="F37" s="279"/>
      <c r="G37" s="279">
        <f t="shared" si="1"/>
        <v>219828</v>
      </c>
    </row>
    <row r="38" spans="1:7" hidden="1">
      <c r="A38" s="208"/>
      <c r="B38" s="239"/>
      <c r="C38" s="239"/>
      <c r="D38" s="279"/>
      <c r="E38" s="279"/>
      <c r="F38" s="279"/>
      <c r="G38" s="279">
        <f t="shared" si="1"/>
        <v>0</v>
      </c>
    </row>
    <row r="39" spans="1:7">
      <c r="A39" s="208" t="s">
        <v>435</v>
      </c>
      <c r="B39" s="239"/>
      <c r="C39" s="239"/>
      <c r="D39" s="279"/>
      <c r="E39" s="279"/>
      <c r="F39" s="279"/>
      <c r="G39" s="279">
        <f t="shared" si="1"/>
        <v>0</v>
      </c>
    </row>
    <row r="40" spans="1:7" hidden="1">
      <c r="A40" s="208"/>
      <c r="B40" s="239"/>
      <c r="C40" s="239"/>
      <c r="D40" s="279"/>
      <c r="E40" s="279"/>
      <c r="F40" s="279"/>
      <c r="G40" s="279">
        <f t="shared" si="1"/>
        <v>0</v>
      </c>
    </row>
    <row r="41" spans="1:7">
      <c r="A41" s="209" t="s">
        <v>199</v>
      </c>
      <c r="B41" s="240"/>
      <c r="C41" s="240"/>
      <c r="D41" s="280"/>
      <c r="E41" s="280"/>
      <c r="F41" s="280"/>
      <c r="G41" s="280">
        <f t="shared" si="1"/>
        <v>0</v>
      </c>
    </row>
    <row r="42" spans="1:7" ht="16.5">
      <c r="G42" s="527">
        <f>G10-G37</f>
        <v>330149133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A31" sqref="A31:XFD31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6.85546875" style="3" customWidth="1"/>
    <col min="15" max="16" width="16.7109375" style="3" customWidth="1"/>
    <col min="17" max="16384" width="6.85546875" style="3"/>
  </cols>
  <sheetData>
    <row r="1" spans="1:22" ht="19.5">
      <c r="A1" s="728" t="str">
        <f>封面!$A$4</f>
        <v>彰化縣地方教育發展基金－彰化縣彰化市民生國民小學</v>
      </c>
      <c r="B1" s="728"/>
      <c r="C1" s="728"/>
      <c r="D1" s="728"/>
      <c r="E1" s="728"/>
      <c r="F1" s="728"/>
      <c r="G1" s="728"/>
      <c r="H1" s="728"/>
      <c r="I1" s="728"/>
      <c r="J1" s="728"/>
      <c r="K1" s="728"/>
      <c r="L1" s="728"/>
      <c r="M1" s="728"/>
      <c r="N1" s="728"/>
      <c r="O1" s="728"/>
      <c r="P1" s="728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3"/>
    </row>
    <row r="4" spans="1:22" ht="19.5">
      <c r="A4" s="728" t="s">
        <v>427</v>
      </c>
      <c r="B4" s="728"/>
      <c r="C4" s="728"/>
      <c r="D4" s="728"/>
      <c r="E4" s="728"/>
      <c r="F4" s="728"/>
      <c r="G4" s="728"/>
      <c r="H4" s="728"/>
      <c r="I4" s="728"/>
      <c r="J4" s="728"/>
      <c r="K4" s="728"/>
      <c r="L4" s="728"/>
      <c r="M4" s="728"/>
      <c r="N4" s="728"/>
      <c r="O4" s="728"/>
      <c r="P4" s="728"/>
    </row>
    <row r="5" spans="1:22" ht="19.5" customHeight="1">
      <c r="A5" s="729" t="str">
        <f>封面!$E$10&amp;封面!$H$10&amp;封面!$I$10&amp;封面!$J$10&amp;封面!$K$10&amp;封面!L10</f>
        <v>中華民國114年5月份</v>
      </c>
      <c r="B5" s="729"/>
      <c r="C5" s="729"/>
      <c r="D5" s="729"/>
      <c r="E5" s="729"/>
      <c r="F5" s="729"/>
      <c r="G5" s="729"/>
      <c r="H5" s="729"/>
      <c r="I5" s="729"/>
      <c r="J5" s="729"/>
      <c r="K5" s="729"/>
      <c r="L5" s="729"/>
      <c r="M5" s="729"/>
      <c r="N5" s="729"/>
      <c r="O5" s="729"/>
      <c r="P5" s="729"/>
    </row>
    <row r="6" spans="1:22" ht="12.75" hidden="1">
      <c r="A6" s="729"/>
      <c r="B6" s="729"/>
      <c r="C6" s="729"/>
      <c r="D6" s="729"/>
      <c r="E6" s="729"/>
      <c r="F6" s="729"/>
      <c r="G6" s="729"/>
      <c r="H6" s="729"/>
      <c r="I6" s="729"/>
      <c r="J6" s="729"/>
      <c r="K6" s="729"/>
      <c r="L6" s="729"/>
      <c r="M6" s="729"/>
      <c r="N6" s="729"/>
      <c r="O6" s="729"/>
      <c r="P6" s="729"/>
    </row>
    <row r="7" spans="1:22" s="8" customFormat="1" ht="16.5">
      <c r="A7" s="753" t="s">
        <v>1</v>
      </c>
      <c r="B7" s="753"/>
      <c r="C7" s="753"/>
      <c r="D7" s="753"/>
      <c r="E7" s="753"/>
      <c r="F7" s="753"/>
      <c r="G7" s="753"/>
      <c r="H7" s="753"/>
      <c r="I7" s="753"/>
      <c r="J7" s="753"/>
      <c r="K7" s="753"/>
      <c r="L7" s="753"/>
      <c r="M7" s="753"/>
      <c r="N7" s="753"/>
      <c r="O7" s="753"/>
      <c r="P7" s="753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55" t="s">
        <v>429</v>
      </c>
      <c r="B10" s="756"/>
      <c r="C10" s="755" t="s">
        <v>56</v>
      </c>
      <c r="D10" s="761"/>
      <c r="E10" s="761"/>
      <c r="F10" s="761"/>
      <c r="G10" s="762"/>
      <c r="H10" s="748" t="s">
        <v>57</v>
      </c>
      <c r="I10" s="752" t="s">
        <v>55</v>
      </c>
      <c r="J10" s="751"/>
      <c r="K10" s="751"/>
      <c r="L10" s="751"/>
      <c r="M10" s="751"/>
      <c r="N10" s="751"/>
      <c r="O10" s="752" t="s">
        <v>58</v>
      </c>
      <c r="P10" s="748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57"/>
      <c r="B11" s="758"/>
      <c r="C11" s="763"/>
      <c r="D11" s="764"/>
      <c r="E11" s="764"/>
      <c r="F11" s="764"/>
      <c r="G11" s="765"/>
      <c r="H11" s="749"/>
      <c r="I11" s="751"/>
      <c r="J11" s="751"/>
      <c r="K11" s="751"/>
      <c r="L11" s="751"/>
      <c r="M11" s="751"/>
      <c r="N11" s="751"/>
      <c r="O11" s="751"/>
      <c r="P11" s="749"/>
      <c r="Q11" s="5"/>
      <c r="R11" s="5"/>
      <c r="S11" s="5"/>
      <c r="T11" s="5"/>
      <c r="U11" s="5"/>
      <c r="V11" s="5"/>
    </row>
    <row r="12" spans="1:22" s="21" customFormat="1" ht="12.75" customHeight="1">
      <c r="A12" s="757"/>
      <c r="B12" s="758"/>
      <c r="C12" s="763"/>
      <c r="D12" s="764"/>
      <c r="E12" s="764"/>
      <c r="F12" s="764"/>
      <c r="G12" s="765"/>
      <c r="H12" s="749"/>
      <c r="I12" s="751"/>
      <c r="J12" s="751"/>
      <c r="K12" s="751"/>
      <c r="L12" s="751"/>
      <c r="M12" s="751"/>
      <c r="N12" s="751"/>
      <c r="O12" s="751"/>
      <c r="P12" s="749"/>
      <c r="Q12" s="5"/>
      <c r="R12" s="5"/>
      <c r="S12" s="5"/>
      <c r="T12" s="5"/>
      <c r="U12" s="5"/>
      <c r="V12" s="5"/>
    </row>
    <row r="13" spans="1:22" s="5" customFormat="1" ht="12.75" hidden="1" customHeight="1">
      <c r="A13" s="757"/>
      <c r="B13" s="758"/>
      <c r="C13" s="766"/>
      <c r="D13" s="767"/>
      <c r="E13" s="767"/>
      <c r="F13" s="764"/>
      <c r="G13" s="765"/>
      <c r="H13" s="749"/>
      <c r="I13" s="751"/>
      <c r="J13" s="751"/>
      <c r="K13" s="751"/>
      <c r="L13" s="751"/>
      <c r="M13" s="751"/>
      <c r="N13" s="751"/>
      <c r="O13" s="751"/>
      <c r="P13" s="749"/>
    </row>
    <row r="14" spans="1:22" s="5" customFormat="1" ht="12.75" customHeight="1">
      <c r="A14" s="757"/>
      <c r="B14" s="758"/>
      <c r="C14" s="768"/>
      <c r="D14" s="769"/>
      <c r="E14" s="769"/>
      <c r="F14" s="770"/>
      <c r="G14" s="733"/>
      <c r="H14" s="749"/>
      <c r="I14" s="751"/>
      <c r="J14" s="751"/>
      <c r="K14" s="751"/>
      <c r="L14" s="751"/>
      <c r="M14" s="751"/>
      <c r="N14" s="751"/>
      <c r="O14" s="751"/>
      <c r="P14" s="749"/>
    </row>
    <row r="15" spans="1:22" s="5" customFormat="1" ht="12.75" customHeight="1">
      <c r="A15" s="757"/>
      <c r="B15" s="758"/>
      <c r="C15" s="771" t="s">
        <v>301</v>
      </c>
      <c r="D15" s="771" t="s">
        <v>302</v>
      </c>
      <c r="E15" s="771" t="s">
        <v>303</v>
      </c>
      <c r="F15" s="748" t="s">
        <v>60</v>
      </c>
      <c r="G15" s="748" t="s">
        <v>61</v>
      </c>
      <c r="H15" s="749"/>
      <c r="I15" s="752" t="s">
        <v>428</v>
      </c>
      <c r="J15" s="751"/>
      <c r="K15" s="751"/>
      <c r="L15" s="751"/>
      <c r="M15" s="752" t="s">
        <v>12</v>
      </c>
      <c r="N15" s="751"/>
      <c r="O15" s="751"/>
      <c r="P15" s="749"/>
    </row>
    <row r="16" spans="1:22" s="5" customFormat="1" ht="12.75" customHeight="1">
      <c r="A16" s="757"/>
      <c r="B16" s="758"/>
      <c r="C16" s="772"/>
      <c r="D16" s="772"/>
      <c r="E16" s="772"/>
      <c r="F16" s="772"/>
      <c r="G16" s="749"/>
      <c r="H16" s="749"/>
      <c r="I16" s="751"/>
      <c r="J16" s="751"/>
      <c r="K16" s="751"/>
      <c r="L16" s="751"/>
      <c r="M16" s="751"/>
      <c r="N16" s="751"/>
      <c r="O16" s="751"/>
      <c r="P16" s="749"/>
    </row>
    <row r="17" spans="1:16" s="5" customFormat="1" ht="12.75" customHeight="1">
      <c r="A17" s="757"/>
      <c r="B17" s="758"/>
      <c r="C17" s="772"/>
      <c r="D17" s="772"/>
      <c r="E17" s="772"/>
      <c r="F17" s="772"/>
      <c r="G17" s="749"/>
      <c r="H17" s="749"/>
      <c r="I17" s="752" t="s">
        <v>63</v>
      </c>
      <c r="J17" s="754" t="s">
        <v>62</v>
      </c>
      <c r="K17" s="752" t="s">
        <v>64</v>
      </c>
      <c r="L17" s="750" t="s">
        <v>65</v>
      </c>
      <c r="M17" s="752" t="s">
        <v>4</v>
      </c>
      <c r="N17" s="750" t="s">
        <v>65</v>
      </c>
      <c r="O17" s="751"/>
      <c r="P17" s="749"/>
    </row>
    <row r="18" spans="1:16" s="5" customFormat="1" ht="12.75" customHeight="1">
      <c r="A18" s="757"/>
      <c r="B18" s="758"/>
      <c r="C18" s="772"/>
      <c r="D18" s="772"/>
      <c r="E18" s="772"/>
      <c r="F18" s="772"/>
      <c r="G18" s="749"/>
      <c r="H18" s="749"/>
      <c r="I18" s="751"/>
      <c r="J18" s="754"/>
      <c r="K18" s="751"/>
      <c r="L18" s="751"/>
      <c r="M18" s="751"/>
      <c r="N18" s="751"/>
      <c r="O18" s="751"/>
      <c r="P18" s="749"/>
    </row>
    <row r="19" spans="1:16" s="5" customFormat="1" ht="12.75" hidden="1" customHeight="1">
      <c r="A19" s="757"/>
      <c r="B19" s="758"/>
      <c r="C19" s="350"/>
      <c r="D19" s="350"/>
      <c r="E19" s="350"/>
      <c r="F19" s="292"/>
      <c r="G19" s="749"/>
      <c r="H19" s="749"/>
      <c r="I19" s="751"/>
      <c r="J19" s="754"/>
      <c r="K19" s="751"/>
      <c r="L19" s="751"/>
      <c r="M19" s="751"/>
      <c r="N19" s="751"/>
      <c r="O19" s="751"/>
      <c r="P19" s="749"/>
    </row>
    <row r="20" spans="1:16" s="5" customFormat="1" ht="16.5" hidden="1" customHeight="1">
      <c r="A20" s="759"/>
      <c r="B20" s="760"/>
      <c r="C20" s="351"/>
      <c r="D20" s="351"/>
      <c r="E20" s="351"/>
      <c r="F20" s="289"/>
      <c r="G20" s="734"/>
      <c r="H20" s="734"/>
      <c r="I20" s="751"/>
      <c r="J20" s="754"/>
      <c r="K20" s="751"/>
      <c r="L20" s="751"/>
      <c r="M20" s="751"/>
      <c r="N20" s="751"/>
      <c r="O20" s="751"/>
      <c r="P20" s="734"/>
    </row>
    <row r="21" spans="1:16" ht="14.25" customHeight="1">
      <c r="A21" s="83" t="s">
        <v>430</v>
      </c>
      <c r="B21" s="84"/>
      <c r="C21" s="343">
        <f>SUM(C23:C24)</f>
        <v>0</v>
      </c>
      <c r="D21" s="343">
        <f t="shared" ref="D21:J22" si="0">SUM(D23:D24)</f>
        <v>0</v>
      </c>
      <c r="E21" s="343">
        <f t="shared" si="0"/>
        <v>0</v>
      </c>
      <c r="F21" s="344">
        <f t="shared" si="0"/>
        <v>0</v>
      </c>
      <c r="G21" s="344">
        <f>SUM(C21:F21)</f>
        <v>0</v>
      </c>
      <c r="H21" s="344">
        <f t="shared" si="0"/>
        <v>0</v>
      </c>
      <c r="I21" s="344">
        <f t="shared" si="0"/>
        <v>0</v>
      </c>
      <c r="J21" s="344">
        <f t="shared" si="0"/>
        <v>0</v>
      </c>
      <c r="K21" s="344">
        <f>SUM(I21:J21)</f>
        <v>0</v>
      </c>
      <c r="L21" s="504">
        <f t="shared" ref="L21:L31" si="1">IF(K21=0,0,K21/H21)*100</f>
        <v>0</v>
      </c>
      <c r="M21" s="344">
        <f>K21-H21</f>
        <v>0</v>
      </c>
      <c r="N21" s="511">
        <f>IF(M21=0,0,M21/H21)*100</f>
        <v>0</v>
      </c>
      <c r="O21" s="528"/>
      <c r="P21" s="508"/>
    </row>
    <row r="22" spans="1:16" ht="14.25" customHeight="1">
      <c r="A22" s="87" t="s">
        <v>44</v>
      </c>
      <c r="B22" s="86"/>
      <c r="C22" s="345">
        <f>SUM(C24:C25)</f>
        <v>0</v>
      </c>
      <c r="D22" s="345">
        <f t="shared" si="0"/>
        <v>0</v>
      </c>
      <c r="E22" s="345">
        <f t="shared" si="0"/>
        <v>0</v>
      </c>
      <c r="F22" s="346">
        <f t="shared" si="0"/>
        <v>0</v>
      </c>
      <c r="G22" s="346">
        <f>SUM(C22:F22)</f>
        <v>0</v>
      </c>
      <c r="H22" s="346">
        <f t="shared" si="0"/>
        <v>0</v>
      </c>
      <c r="I22" s="346">
        <f t="shared" si="0"/>
        <v>0</v>
      </c>
      <c r="J22" s="346">
        <f t="shared" si="0"/>
        <v>0</v>
      </c>
      <c r="K22" s="346">
        <f>SUM(I22:J22)</f>
        <v>0</v>
      </c>
      <c r="L22" s="505">
        <f t="shared" si="1"/>
        <v>0</v>
      </c>
      <c r="M22" s="346">
        <f t="shared" ref="M22:M41" si="2">K22-H22</f>
        <v>0</v>
      </c>
      <c r="N22" s="512">
        <f t="shared" ref="N22:N41" si="3">IF(M22=0,0,M22/H22)*100</f>
        <v>0</v>
      </c>
      <c r="O22" s="529"/>
      <c r="P22" s="509"/>
    </row>
    <row r="23" spans="1:16">
      <c r="A23" s="85"/>
      <c r="B23" s="86" t="s">
        <v>44</v>
      </c>
      <c r="C23" s="345"/>
      <c r="D23" s="345"/>
      <c r="E23" s="345"/>
      <c r="F23" s="346"/>
      <c r="G23" s="346">
        <f t="shared" ref="G23:G41" si="4">SUM(C23:F23)</f>
        <v>0</v>
      </c>
      <c r="H23" s="346"/>
      <c r="I23" s="346"/>
      <c r="J23" s="346"/>
      <c r="K23" s="346">
        <f t="shared" ref="K23:K41" si="5">SUM(I23:J23)</f>
        <v>0</v>
      </c>
      <c r="L23" s="505">
        <f t="shared" si="1"/>
        <v>0</v>
      </c>
      <c r="M23" s="346">
        <f t="shared" si="2"/>
        <v>0</v>
      </c>
      <c r="N23" s="512">
        <f t="shared" si="3"/>
        <v>0</v>
      </c>
      <c r="O23" s="529"/>
      <c r="P23" s="509"/>
    </row>
    <row r="24" spans="1:16">
      <c r="A24" s="85"/>
      <c r="B24" s="86" t="s">
        <v>49</v>
      </c>
      <c r="C24" s="346"/>
      <c r="D24" s="346"/>
      <c r="E24" s="346"/>
      <c r="F24" s="346"/>
      <c r="G24" s="346">
        <f t="shared" si="4"/>
        <v>0</v>
      </c>
      <c r="H24" s="346"/>
      <c r="I24" s="346"/>
      <c r="J24" s="346"/>
      <c r="K24" s="346">
        <f t="shared" si="5"/>
        <v>0</v>
      </c>
      <c r="L24" s="505">
        <f t="shared" si="1"/>
        <v>0</v>
      </c>
      <c r="M24" s="346">
        <f t="shared" si="2"/>
        <v>0</v>
      </c>
      <c r="N24" s="512">
        <f t="shared" si="3"/>
        <v>0</v>
      </c>
      <c r="O24" s="529"/>
      <c r="P24" s="509"/>
    </row>
    <row r="25" spans="1:16" ht="14.25" customHeight="1">
      <c r="A25" s="87" t="s">
        <v>45</v>
      </c>
      <c r="B25" s="86"/>
      <c r="C25" s="346">
        <f>SUM(C26:C27)</f>
        <v>0</v>
      </c>
      <c r="D25" s="346">
        <f t="shared" ref="D25" si="6">SUM(D26:D27)</f>
        <v>0</v>
      </c>
      <c r="E25" s="346">
        <f t="shared" ref="E25" si="7">SUM(E26:E27)</f>
        <v>0</v>
      </c>
      <c r="F25" s="346">
        <f t="shared" ref="F25" si="8">SUM(F26:F27)</f>
        <v>0</v>
      </c>
      <c r="G25" s="346">
        <f t="shared" si="4"/>
        <v>0</v>
      </c>
      <c r="H25" s="346">
        <f t="shared" ref="H25" si="9">SUM(H26:H27)</f>
        <v>0</v>
      </c>
      <c r="I25" s="346">
        <f t="shared" ref="I25" si="10">SUM(I26:I27)</f>
        <v>0</v>
      </c>
      <c r="J25" s="346">
        <f t="shared" ref="J25" si="11">SUM(J26:J27)</f>
        <v>0</v>
      </c>
      <c r="K25" s="346">
        <f t="shared" si="5"/>
        <v>0</v>
      </c>
      <c r="L25" s="505">
        <f t="shared" si="1"/>
        <v>0</v>
      </c>
      <c r="M25" s="346">
        <f t="shared" si="2"/>
        <v>0</v>
      </c>
      <c r="N25" s="512">
        <f t="shared" si="3"/>
        <v>0</v>
      </c>
      <c r="O25" s="529"/>
      <c r="P25" s="509"/>
    </row>
    <row r="26" spans="1:16">
      <c r="A26" s="85"/>
      <c r="B26" s="86" t="s">
        <v>45</v>
      </c>
      <c r="C26" s="346"/>
      <c r="D26" s="346"/>
      <c r="E26" s="346"/>
      <c r="F26" s="346"/>
      <c r="G26" s="346">
        <f t="shared" si="4"/>
        <v>0</v>
      </c>
      <c r="H26" s="346"/>
      <c r="I26" s="346"/>
      <c r="J26" s="346"/>
      <c r="K26" s="346">
        <f t="shared" si="5"/>
        <v>0</v>
      </c>
      <c r="L26" s="505">
        <f t="shared" si="1"/>
        <v>0</v>
      </c>
      <c r="M26" s="346">
        <f t="shared" si="2"/>
        <v>0</v>
      </c>
      <c r="N26" s="512">
        <f t="shared" si="3"/>
        <v>0</v>
      </c>
      <c r="O26" s="529"/>
      <c r="P26" s="509"/>
    </row>
    <row r="27" spans="1:16">
      <c r="A27" s="85"/>
      <c r="B27" s="86" t="s">
        <v>49</v>
      </c>
      <c r="C27" s="346"/>
      <c r="D27" s="346"/>
      <c r="E27" s="346"/>
      <c r="F27" s="346"/>
      <c r="G27" s="346">
        <f t="shared" si="4"/>
        <v>0</v>
      </c>
      <c r="H27" s="346"/>
      <c r="I27" s="346"/>
      <c r="J27" s="346"/>
      <c r="K27" s="346">
        <f t="shared" si="5"/>
        <v>0</v>
      </c>
      <c r="L27" s="505">
        <f t="shared" si="1"/>
        <v>0</v>
      </c>
      <c r="M27" s="346">
        <f t="shared" si="2"/>
        <v>0</v>
      </c>
      <c r="N27" s="512">
        <f t="shared" si="3"/>
        <v>0</v>
      </c>
      <c r="O27" s="529"/>
      <c r="P27" s="509"/>
    </row>
    <row r="28" spans="1:16" ht="14.25" customHeight="1">
      <c r="A28" s="87" t="s">
        <v>46</v>
      </c>
      <c r="B28" s="86"/>
      <c r="C28" s="346">
        <f>SUM(C29:C30)</f>
        <v>0</v>
      </c>
      <c r="D28" s="346">
        <f t="shared" ref="D28" si="12">SUM(D29:D30)</f>
        <v>0</v>
      </c>
      <c r="E28" s="346">
        <f t="shared" ref="E28" si="13">SUM(E29:E30)</f>
        <v>0</v>
      </c>
      <c r="F28" s="346">
        <f t="shared" ref="F28" si="14">SUM(F29:F30)</f>
        <v>0</v>
      </c>
      <c r="G28" s="346">
        <f t="shared" si="4"/>
        <v>0</v>
      </c>
      <c r="H28" s="346">
        <f t="shared" ref="H28" si="15">SUM(H29:H30)</f>
        <v>0</v>
      </c>
      <c r="I28" s="346">
        <f t="shared" ref="I28" si="16">SUM(I29:I30)</f>
        <v>0</v>
      </c>
      <c r="J28" s="346">
        <f t="shared" ref="J28" si="17">SUM(J29:J30)</f>
        <v>0</v>
      </c>
      <c r="K28" s="346">
        <f t="shared" si="5"/>
        <v>0</v>
      </c>
      <c r="L28" s="505">
        <f t="shared" si="1"/>
        <v>0</v>
      </c>
      <c r="M28" s="346">
        <f t="shared" si="2"/>
        <v>0</v>
      </c>
      <c r="N28" s="512">
        <f t="shared" si="3"/>
        <v>0</v>
      </c>
      <c r="O28" s="529"/>
      <c r="P28" s="509"/>
    </row>
    <row r="29" spans="1:16">
      <c r="A29" s="85"/>
      <c r="B29" s="86" t="s">
        <v>46</v>
      </c>
      <c r="C29" s="346"/>
      <c r="D29" s="346"/>
      <c r="E29" s="346"/>
      <c r="F29" s="346"/>
      <c r="G29" s="346">
        <f t="shared" si="4"/>
        <v>0</v>
      </c>
      <c r="H29" s="346"/>
      <c r="I29" s="346"/>
      <c r="J29" s="346"/>
      <c r="K29" s="346">
        <f t="shared" si="5"/>
        <v>0</v>
      </c>
      <c r="L29" s="505">
        <f t="shared" si="1"/>
        <v>0</v>
      </c>
      <c r="M29" s="346">
        <f t="shared" si="2"/>
        <v>0</v>
      </c>
      <c r="N29" s="512">
        <f t="shared" si="3"/>
        <v>0</v>
      </c>
      <c r="O29" s="529"/>
      <c r="P29" s="509"/>
    </row>
    <row r="30" spans="1:16">
      <c r="A30" s="85"/>
      <c r="B30" s="86" t="s">
        <v>49</v>
      </c>
      <c r="C30" s="346"/>
      <c r="D30" s="346"/>
      <c r="E30" s="346"/>
      <c r="F30" s="346"/>
      <c r="G30" s="346">
        <f t="shared" si="4"/>
        <v>0</v>
      </c>
      <c r="H30" s="346"/>
      <c r="I30" s="346"/>
      <c r="J30" s="346"/>
      <c r="K30" s="346">
        <f t="shared" si="5"/>
        <v>0</v>
      </c>
      <c r="L30" s="505">
        <f t="shared" si="1"/>
        <v>0</v>
      </c>
      <c r="M30" s="346">
        <f t="shared" si="2"/>
        <v>0</v>
      </c>
      <c r="N30" s="512">
        <f t="shared" si="3"/>
        <v>0</v>
      </c>
      <c r="O30" s="529"/>
      <c r="P30" s="509"/>
    </row>
    <row r="31" spans="1:16" ht="14.25" customHeight="1">
      <c r="A31" s="87" t="s">
        <v>47</v>
      </c>
      <c r="B31" s="86"/>
      <c r="C31" s="346">
        <f>SUM(C32:C33)</f>
        <v>0</v>
      </c>
      <c r="D31" s="346">
        <f t="shared" ref="D31" si="18">SUM(D32:D33)</f>
        <v>100000</v>
      </c>
      <c r="E31" s="346">
        <f t="shared" ref="E31" si="19">SUM(E32:E33)</f>
        <v>0</v>
      </c>
      <c r="F31" s="346">
        <f t="shared" ref="F31" si="20">SUM(F32:F33)</f>
        <v>0</v>
      </c>
      <c r="G31" s="346">
        <f t="shared" si="4"/>
        <v>100000</v>
      </c>
      <c r="H31" s="346">
        <f t="shared" ref="H31" si="21">SUM(H32:H33)</f>
        <v>100000</v>
      </c>
      <c r="I31" s="346">
        <f t="shared" ref="I31" si="22">SUM(I32:I33)</f>
        <v>0</v>
      </c>
      <c r="J31" s="346">
        <f t="shared" ref="J31" si="23">SUM(J32:J33)</f>
        <v>0</v>
      </c>
      <c r="K31" s="346">
        <f t="shared" si="5"/>
        <v>0</v>
      </c>
      <c r="L31" s="505">
        <f t="shared" si="1"/>
        <v>0</v>
      </c>
      <c r="M31" s="346">
        <f t="shared" si="2"/>
        <v>-100000</v>
      </c>
      <c r="N31" s="512">
        <f t="shared" si="3"/>
        <v>-100</v>
      </c>
      <c r="O31" s="529"/>
      <c r="P31" s="509"/>
    </row>
    <row r="32" spans="1:16" ht="28.5">
      <c r="A32" s="85"/>
      <c r="B32" s="86" t="s">
        <v>47</v>
      </c>
      <c r="C32" s="346"/>
      <c r="D32" s="347">
        <v>100000</v>
      </c>
      <c r="E32" s="346"/>
      <c r="F32" s="347"/>
      <c r="G32" s="347">
        <f t="shared" si="4"/>
        <v>100000</v>
      </c>
      <c r="H32" s="347">
        <v>100000</v>
      </c>
      <c r="I32" s="347"/>
      <c r="J32" s="346"/>
      <c r="K32" s="347">
        <f t="shared" si="5"/>
        <v>0</v>
      </c>
      <c r="L32" s="506">
        <f>IF(K32=0,0,K32/H32)*100</f>
        <v>0</v>
      </c>
      <c r="M32" s="347">
        <f t="shared" si="2"/>
        <v>-100000</v>
      </c>
      <c r="N32" s="513">
        <f t="shared" si="3"/>
        <v>-100</v>
      </c>
      <c r="O32" s="530" t="s">
        <v>478</v>
      </c>
      <c r="P32" s="509" t="s">
        <v>452</v>
      </c>
    </row>
    <row r="33" spans="1:16" ht="12.75" customHeight="1">
      <c r="A33" s="85"/>
      <c r="B33" s="86" t="s">
        <v>49</v>
      </c>
      <c r="C33" s="346"/>
      <c r="D33" s="347"/>
      <c r="E33" s="346"/>
      <c r="F33" s="347"/>
      <c r="G33" s="347">
        <f t="shared" si="4"/>
        <v>0</v>
      </c>
      <c r="H33" s="347"/>
      <c r="I33" s="347"/>
      <c r="J33" s="346"/>
      <c r="K33" s="347">
        <f t="shared" si="5"/>
        <v>0</v>
      </c>
      <c r="L33" s="506">
        <f t="shared" ref="L33:L41" si="24">IF(K33=0,0,K33/H33)*100</f>
        <v>0</v>
      </c>
      <c r="M33" s="347">
        <f t="shared" si="2"/>
        <v>0</v>
      </c>
      <c r="N33" s="513">
        <f t="shared" si="3"/>
        <v>0</v>
      </c>
      <c r="O33" s="530"/>
      <c r="P33" s="509"/>
    </row>
    <row r="34" spans="1:16" ht="14.25" customHeight="1">
      <c r="A34" s="85" t="s">
        <v>48</v>
      </c>
      <c r="B34" s="86"/>
      <c r="C34" s="346">
        <f>SUM(C35:C36)</f>
        <v>0</v>
      </c>
      <c r="D34" s="346">
        <f t="shared" ref="D34" si="25">SUM(D35:D36)</f>
        <v>0</v>
      </c>
      <c r="E34" s="346">
        <f t="shared" ref="E34" si="26">SUM(E35:E36)</f>
        <v>0</v>
      </c>
      <c r="F34" s="346">
        <f t="shared" ref="F34" si="27">SUM(F35:F36)</f>
        <v>0</v>
      </c>
      <c r="G34" s="346">
        <f t="shared" si="4"/>
        <v>0</v>
      </c>
      <c r="H34" s="346">
        <f t="shared" ref="H34" si="28">SUM(H35:H36)</f>
        <v>0</v>
      </c>
      <c r="I34" s="346">
        <f t="shared" ref="I34" si="29">SUM(I35:I36)</f>
        <v>0</v>
      </c>
      <c r="J34" s="346">
        <f t="shared" ref="J34" si="30">SUM(J35:J36)</f>
        <v>0</v>
      </c>
      <c r="K34" s="346">
        <f t="shared" si="5"/>
        <v>0</v>
      </c>
      <c r="L34" s="505">
        <f t="shared" si="24"/>
        <v>0</v>
      </c>
      <c r="M34" s="346">
        <f t="shared" si="2"/>
        <v>0</v>
      </c>
      <c r="N34" s="512">
        <f t="shared" si="3"/>
        <v>0</v>
      </c>
      <c r="O34" s="529"/>
      <c r="P34" s="509"/>
    </row>
    <row r="35" spans="1:16">
      <c r="A35" s="87"/>
      <c r="B35" s="86" t="s">
        <v>48</v>
      </c>
      <c r="C35" s="346"/>
      <c r="D35" s="346"/>
      <c r="E35" s="346"/>
      <c r="F35" s="346"/>
      <c r="G35" s="346">
        <f t="shared" si="4"/>
        <v>0</v>
      </c>
      <c r="H35" s="346"/>
      <c r="I35" s="346"/>
      <c r="J35" s="346"/>
      <c r="K35" s="346">
        <f t="shared" si="5"/>
        <v>0</v>
      </c>
      <c r="L35" s="505">
        <f t="shared" si="24"/>
        <v>0</v>
      </c>
      <c r="M35" s="346">
        <f t="shared" si="2"/>
        <v>0</v>
      </c>
      <c r="N35" s="512">
        <f t="shared" si="3"/>
        <v>0</v>
      </c>
      <c r="O35" s="531"/>
      <c r="P35" s="509"/>
    </row>
    <row r="36" spans="1:16">
      <c r="A36" s="85"/>
      <c r="B36" s="86" t="s">
        <v>49</v>
      </c>
      <c r="C36" s="346"/>
      <c r="D36" s="346"/>
      <c r="E36" s="346"/>
      <c r="F36" s="346"/>
      <c r="G36" s="346">
        <f t="shared" si="4"/>
        <v>0</v>
      </c>
      <c r="H36" s="346"/>
      <c r="I36" s="346"/>
      <c r="J36" s="346"/>
      <c r="K36" s="346">
        <f t="shared" si="5"/>
        <v>0</v>
      </c>
      <c r="L36" s="505">
        <f t="shared" si="24"/>
        <v>0</v>
      </c>
      <c r="M36" s="346">
        <f t="shared" si="2"/>
        <v>0</v>
      </c>
      <c r="N36" s="512">
        <f t="shared" si="3"/>
        <v>0</v>
      </c>
      <c r="O36" s="529"/>
      <c r="P36" s="509"/>
    </row>
    <row r="37" spans="1:16" ht="14.25" customHeight="1">
      <c r="A37" s="85" t="s">
        <v>210</v>
      </c>
      <c r="B37" s="86"/>
      <c r="C37" s="346">
        <f>SUM(C38:C39)</f>
        <v>0</v>
      </c>
      <c r="D37" s="346">
        <f t="shared" ref="D37" si="31">SUM(D38:D39)</f>
        <v>100000</v>
      </c>
      <c r="E37" s="346">
        <f t="shared" ref="E37" si="32">SUM(E38:E39)</f>
        <v>0</v>
      </c>
      <c r="F37" s="346">
        <f t="shared" ref="F37" si="33">SUM(F38:F39)</f>
        <v>0</v>
      </c>
      <c r="G37" s="346">
        <f t="shared" si="4"/>
        <v>100000</v>
      </c>
      <c r="H37" s="346">
        <f t="shared" ref="H37" si="34">SUM(H38:H39)</f>
        <v>0</v>
      </c>
      <c r="I37" s="346">
        <f t="shared" ref="I37" si="35">SUM(I38:I39)</f>
        <v>0</v>
      </c>
      <c r="J37" s="346">
        <f t="shared" ref="J37" si="36">SUM(J38:J39)</f>
        <v>0</v>
      </c>
      <c r="K37" s="346">
        <f t="shared" si="5"/>
        <v>0</v>
      </c>
      <c r="L37" s="505">
        <f t="shared" si="24"/>
        <v>0</v>
      </c>
      <c r="M37" s="346">
        <f t="shared" si="2"/>
        <v>0</v>
      </c>
      <c r="N37" s="512">
        <f t="shared" si="3"/>
        <v>0</v>
      </c>
      <c r="O37" s="529"/>
      <c r="P37" s="509"/>
    </row>
    <row r="38" spans="1:16" ht="14.25" customHeight="1">
      <c r="A38" s="87"/>
      <c r="B38" s="86" t="s">
        <v>210</v>
      </c>
      <c r="C38" s="346"/>
      <c r="D38" s="347">
        <v>100000</v>
      </c>
      <c r="E38" s="346"/>
      <c r="F38" s="347"/>
      <c r="G38" s="347">
        <f t="shared" si="4"/>
        <v>100000</v>
      </c>
      <c r="H38" s="347"/>
      <c r="I38" s="347"/>
      <c r="J38" s="346"/>
      <c r="K38" s="347">
        <f t="shared" si="5"/>
        <v>0</v>
      </c>
      <c r="L38" s="506">
        <f t="shared" si="24"/>
        <v>0</v>
      </c>
      <c r="M38" s="346">
        <f t="shared" si="2"/>
        <v>0</v>
      </c>
      <c r="N38" s="512">
        <f t="shared" si="3"/>
        <v>0</v>
      </c>
      <c r="O38" s="529"/>
      <c r="P38" s="509"/>
    </row>
    <row r="39" spans="1:16">
      <c r="A39" s="85"/>
      <c r="B39" s="86" t="s">
        <v>49</v>
      </c>
      <c r="C39" s="346"/>
      <c r="D39" s="347"/>
      <c r="E39" s="346"/>
      <c r="F39" s="347"/>
      <c r="G39" s="347">
        <f t="shared" si="4"/>
        <v>0</v>
      </c>
      <c r="H39" s="347"/>
      <c r="I39" s="347"/>
      <c r="J39" s="346"/>
      <c r="K39" s="347">
        <f t="shared" si="5"/>
        <v>0</v>
      </c>
      <c r="L39" s="506">
        <f t="shared" si="24"/>
        <v>0</v>
      </c>
      <c r="M39" s="346">
        <f t="shared" si="2"/>
        <v>0</v>
      </c>
      <c r="N39" s="512">
        <f t="shared" si="3"/>
        <v>0</v>
      </c>
      <c r="O39" s="529"/>
      <c r="P39" s="509"/>
    </row>
    <row r="40" spans="1:16" ht="9.75" customHeight="1">
      <c r="A40" s="85"/>
      <c r="B40" s="86"/>
      <c r="C40" s="346"/>
      <c r="D40" s="346"/>
      <c r="E40" s="346"/>
      <c r="F40" s="346"/>
      <c r="G40" s="346">
        <f t="shared" si="4"/>
        <v>0</v>
      </c>
      <c r="H40" s="346"/>
      <c r="I40" s="346"/>
      <c r="J40" s="346"/>
      <c r="K40" s="346">
        <f t="shared" si="5"/>
        <v>0</v>
      </c>
      <c r="L40" s="505">
        <f t="shared" si="24"/>
        <v>0</v>
      </c>
      <c r="M40" s="346">
        <f t="shared" si="2"/>
        <v>0</v>
      </c>
      <c r="N40" s="512">
        <f t="shared" si="3"/>
        <v>0</v>
      </c>
      <c r="O40" s="529"/>
      <c r="P40" s="509"/>
    </row>
    <row r="41" spans="1:16" ht="14.25" customHeight="1">
      <c r="A41" s="91" t="s">
        <v>169</v>
      </c>
      <c r="B41" s="88"/>
      <c r="C41" s="348">
        <f>SUM(C21:C40)/2</f>
        <v>0</v>
      </c>
      <c r="D41" s="348">
        <f t="shared" ref="D41:J41" si="37">SUM(D21:D40)/2</f>
        <v>200000</v>
      </c>
      <c r="E41" s="348">
        <f t="shared" si="37"/>
        <v>0</v>
      </c>
      <c r="F41" s="348">
        <f t="shared" si="37"/>
        <v>0</v>
      </c>
      <c r="G41" s="348">
        <f t="shared" si="4"/>
        <v>200000</v>
      </c>
      <c r="H41" s="348">
        <f t="shared" si="37"/>
        <v>100000</v>
      </c>
      <c r="I41" s="348">
        <f t="shared" si="37"/>
        <v>0</v>
      </c>
      <c r="J41" s="348">
        <f t="shared" si="37"/>
        <v>0</v>
      </c>
      <c r="K41" s="349">
        <f t="shared" si="5"/>
        <v>0</v>
      </c>
      <c r="L41" s="507">
        <f t="shared" si="24"/>
        <v>0</v>
      </c>
      <c r="M41" s="348">
        <f t="shared" si="2"/>
        <v>-100000</v>
      </c>
      <c r="N41" s="514">
        <f t="shared" si="3"/>
        <v>-100</v>
      </c>
      <c r="O41" s="532"/>
      <c r="P41" s="510"/>
    </row>
    <row r="42" spans="1:16">
      <c r="P42" s="12"/>
    </row>
  </sheetData>
  <mergeCells count="23">
    <mergeCell ref="A10:B20"/>
    <mergeCell ref="C10:G14"/>
    <mergeCell ref="G15:G20"/>
    <mergeCell ref="C15:C18"/>
    <mergeCell ref="D15:D18"/>
    <mergeCell ref="E15:E18"/>
    <mergeCell ref="F15:F18"/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31" sqref="A31:XFD31"/>
      <selection pane="bottomLeft" activeCell="A31" sqref="A31:XFD31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74"/>
      <c r="U1" s="774"/>
      <c r="V1" s="774"/>
      <c r="W1" s="774"/>
    </row>
    <row r="2" spans="1:24" ht="24.75" customHeight="1">
      <c r="A2" s="696" t="str">
        <f>封面!$A$4</f>
        <v>彰化縣地方教育發展基金－彰化縣彰化市民生國民小學</v>
      </c>
      <c r="B2" s="618"/>
      <c r="C2" s="618"/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R2" s="618"/>
      <c r="S2" s="618"/>
      <c r="T2" s="618"/>
      <c r="U2" s="618"/>
      <c r="V2" s="618"/>
      <c r="W2" s="618"/>
    </row>
    <row r="3" spans="1:24" ht="20.25" customHeight="1">
      <c r="A3" s="725" t="s">
        <v>66</v>
      </c>
      <c r="B3" s="725"/>
      <c r="C3" s="725"/>
      <c r="D3" s="725"/>
      <c r="E3" s="725"/>
      <c r="F3" s="725"/>
      <c r="G3" s="725"/>
      <c r="H3" s="725"/>
      <c r="I3" s="725"/>
      <c r="J3" s="725"/>
      <c r="K3" s="725"/>
      <c r="L3" s="725"/>
      <c r="M3" s="725"/>
      <c r="N3" s="725"/>
      <c r="O3" s="725"/>
      <c r="P3" s="725"/>
      <c r="Q3" s="725"/>
      <c r="R3" s="725"/>
      <c r="S3" s="725"/>
      <c r="T3" s="725"/>
      <c r="U3" s="725"/>
      <c r="V3" s="725"/>
      <c r="W3" s="725"/>
    </row>
    <row r="4" spans="1:24" ht="20.25" customHeight="1">
      <c r="A4" s="694" t="str">
        <f>封面!$E$10&amp;封面!$H$10&amp;封面!$I$10&amp;封面!$J$10&amp;封面!$K$10&amp;封面!L10</f>
        <v>中華民國114年5月份</v>
      </c>
      <c r="B4" s="694"/>
      <c r="C4" s="694"/>
      <c r="D4" s="694"/>
      <c r="E4" s="694"/>
      <c r="F4" s="694"/>
      <c r="G4" s="694"/>
      <c r="H4" s="694"/>
      <c r="I4" s="694"/>
      <c r="J4" s="694"/>
      <c r="K4" s="694"/>
      <c r="L4" s="694"/>
      <c r="M4" s="694"/>
      <c r="N4" s="694"/>
      <c r="O4" s="694"/>
      <c r="P4" s="694"/>
      <c r="Q4" s="694"/>
      <c r="R4" s="694"/>
      <c r="S4" s="694"/>
      <c r="T4" s="694"/>
      <c r="U4" s="694"/>
      <c r="V4" s="694"/>
      <c r="W4" s="694"/>
    </row>
    <row r="5" spans="1:24" ht="16.5">
      <c r="S5" s="776" t="s">
        <v>1</v>
      </c>
      <c r="T5" s="618"/>
      <c r="U5" s="618"/>
      <c r="V5" s="618"/>
      <c r="W5" s="618"/>
    </row>
    <row r="6" spans="1:24" ht="14.25" hidden="1"/>
    <row r="7" spans="1:24" ht="8.1" customHeight="1">
      <c r="A7" s="730" t="s">
        <v>6</v>
      </c>
      <c r="B7" s="775"/>
      <c r="C7" s="775"/>
      <c r="D7" s="775"/>
      <c r="E7" s="775"/>
      <c r="F7" s="775"/>
      <c r="G7" s="775"/>
      <c r="H7" s="775"/>
      <c r="I7" s="775"/>
      <c r="J7" s="775"/>
      <c r="K7" s="775"/>
      <c r="L7" s="775"/>
      <c r="M7" s="775"/>
      <c r="N7" s="730" t="s">
        <v>68</v>
      </c>
      <c r="O7" s="773"/>
      <c r="P7" s="730" t="s">
        <v>69</v>
      </c>
      <c r="Q7" s="773"/>
      <c r="R7" s="730" t="s">
        <v>67</v>
      </c>
      <c r="S7" s="773"/>
      <c r="T7" s="773"/>
      <c r="U7" s="773"/>
      <c r="V7" s="773"/>
      <c r="W7" s="773"/>
      <c r="X7" s="6"/>
    </row>
    <row r="8" spans="1:24" ht="8.1" customHeight="1">
      <c r="A8" s="775"/>
      <c r="B8" s="775"/>
      <c r="C8" s="775"/>
      <c r="D8" s="775"/>
      <c r="E8" s="775"/>
      <c r="F8" s="775"/>
      <c r="G8" s="775"/>
      <c r="H8" s="775"/>
      <c r="I8" s="775"/>
      <c r="J8" s="775"/>
      <c r="K8" s="775"/>
      <c r="L8" s="775"/>
      <c r="M8" s="775"/>
      <c r="N8" s="773"/>
      <c r="O8" s="773"/>
      <c r="P8" s="773"/>
      <c r="Q8" s="773"/>
      <c r="R8" s="773"/>
      <c r="S8" s="773"/>
      <c r="T8" s="773"/>
      <c r="U8" s="773"/>
      <c r="V8" s="773"/>
      <c r="W8" s="773"/>
      <c r="X8" s="6"/>
    </row>
    <row r="9" spans="1:24" ht="8.1" customHeight="1">
      <c r="A9" s="775"/>
      <c r="B9" s="775"/>
      <c r="C9" s="775"/>
      <c r="D9" s="775"/>
      <c r="E9" s="775"/>
      <c r="F9" s="775"/>
      <c r="G9" s="775"/>
      <c r="H9" s="775"/>
      <c r="I9" s="775"/>
      <c r="J9" s="775"/>
      <c r="K9" s="775"/>
      <c r="L9" s="775"/>
      <c r="M9" s="775"/>
      <c r="N9" s="773"/>
      <c r="O9" s="773"/>
      <c r="P9" s="773"/>
      <c r="Q9" s="773"/>
      <c r="R9" s="730" t="s">
        <v>4</v>
      </c>
      <c r="S9" s="773"/>
      <c r="T9" s="773"/>
      <c r="U9" s="773"/>
      <c r="V9" s="67"/>
      <c r="W9" s="777" t="s">
        <v>150</v>
      </c>
      <c r="X9" s="6"/>
    </row>
    <row r="10" spans="1:24" ht="8.1" customHeight="1">
      <c r="A10" s="775"/>
      <c r="B10" s="775"/>
      <c r="C10" s="775"/>
      <c r="D10" s="775"/>
      <c r="E10" s="775"/>
      <c r="F10" s="775"/>
      <c r="G10" s="775"/>
      <c r="H10" s="775"/>
      <c r="I10" s="775"/>
      <c r="J10" s="775"/>
      <c r="K10" s="775"/>
      <c r="L10" s="775"/>
      <c r="M10" s="775"/>
      <c r="N10" s="773"/>
      <c r="O10" s="773"/>
      <c r="P10" s="773"/>
      <c r="Q10" s="773"/>
      <c r="R10" s="773"/>
      <c r="S10" s="773"/>
      <c r="T10" s="773"/>
      <c r="U10" s="773"/>
      <c r="V10" s="68"/>
      <c r="W10" s="734"/>
      <c r="X10" s="6"/>
    </row>
    <row r="11" spans="1:24" hidden="1">
      <c r="A11" s="775"/>
      <c r="B11" s="775"/>
      <c r="C11" s="775"/>
      <c r="D11" s="775"/>
      <c r="E11" s="775"/>
      <c r="F11" s="775"/>
      <c r="G11" s="775"/>
      <c r="H11" s="775"/>
      <c r="I11" s="775"/>
      <c r="J11" s="775"/>
      <c r="K11" s="775"/>
      <c r="L11" s="775"/>
      <c r="M11" s="775"/>
      <c r="N11" s="773"/>
      <c r="O11" s="773"/>
      <c r="P11" s="773"/>
      <c r="Q11" s="773"/>
      <c r="R11" s="773"/>
      <c r="S11" s="773"/>
      <c r="T11" s="773"/>
      <c r="U11" s="773"/>
      <c r="V11" s="68"/>
      <c r="W11" s="68"/>
      <c r="X11" s="6"/>
    </row>
    <row r="12" spans="1:24" ht="15.75" customHeight="1">
      <c r="A12" s="217"/>
      <c r="B12" s="74" t="s">
        <v>487</v>
      </c>
      <c r="C12" s="74"/>
      <c r="D12" s="74"/>
      <c r="E12" s="74"/>
      <c r="F12" s="74" t="s">
        <v>567</v>
      </c>
      <c r="G12" s="74"/>
      <c r="H12" s="74"/>
      <c r="I12" s="74"/>
      <c r="J12" s="74"/>
      <c r="K12" s="74"/>
      <c r="L12" s="74"/>
      <c r="M12" s="218"/>
      <c r="N12" s="223"/>
      <c r="O12" s="224">
        <v>132814000</v>
      </c>
      <c r="P12" s="225"/>
      <c r="Q12" s="224">
        <v>65265185</v>
      </c>
      <c r="R12" s="225"/>
      <c r="S12" s="224">
        <v>-67548815</v>
      </c>
      <c r="T12" s="224"/>
      <c r="U12" s="224"/>
      <c r="V12" s="225"/>
      <c r="W12" s="224" t="s">
        <v>568</v>
      </c>
      <c r="X12" s="6"/>
    </row>
    <row r="13" spans="1:24" ht="15.75" customHeight="1">
      <c r="A13" s="219"/>
      <c r="B13" s="75"/>
      <c r="C13" s="317" t="s">
        <v>489</v>
      </c>
      <c r="D13" s="317"/>
      <c r="E13" s="317"/>
      <c r="F13" s="75"/>
      <c r="G13" s="75" t="s">
        <v>569</v>
      </c>
      <c r="H13" s="75"/>
      <c r="I13" s="75"/>
      <c r="J13" s="75"/>
      <c r="K13" s="75"/>
      <c r="L13" s="75"/>
      <c r="M13" s="220"/>
      <c r="N13" s="226"/>
      <c r="O13" s="227"/>
      <c r="P13" s="227"/>
      <c r="Q13" s="228">
        <v>44747781</v>
      </c>
      <c r="R13" s="227"/>
      <c r="S13" s="228">
        <v>44747781</v>
      </c>
      <c r="T13" s="228"/>
      <c r="U13" s="228"/>
      <c r="V13" s="227"/>
      <c r="W13" s="227"/>
      <c r="X13" s="6"/>
    </row>
    <row r="14" spans="1:24" ht="15.75" customHeight="1">
      <c r="A14" s="219"/>
      <c r="B14" s="75"/>
      <c r="C14" s="317"/>
      <c r="D14" s="317" t="s">
        <v>570</v>
      </c>
      <c r="E14" s="317"/>
      <c r="F14" s="75"/>
      <c r="G14" s="75"/>
      <c r="H14" s="75"/>
      <c r="I14" s="75" t="s">
        <v>571</v>
      </c>
      <c r="J14" s="75"/>
      <c r="K14" s="75"/>
      <c r="L14" s="75"/>
      <c r="M14" s="220"/>
      <c r="N14" s="226"/>
      <c r="O14" s="227"/>
      <c r="P14" s="227"/>
      <c r="Q14" s="228">
        <v>44293101</v>
      </c>
      <c r="R14" s="227"/>
      <c r="S14" s="228">
        <v>44293101</v>
      </c>
      <c r="T14" s="228"/>
      <c r="U14" s="228"/>
      <c r="V14" s="227"/>
      <c r="W14" s="227"/>
      <c r="X14" s="6"/>
    </row>
    <row r="15" spans="1:24" ht="15.75" customHeight="1">
      <c r="A15" s="219"/>
      <c r="B15" s="75"/>
      <c r="C15" s="317"/>
      <c r="D15" s="317" t="s">
        <v>572</v>
      </c>
      <c r="E15" s="317"/>
      <c r="F15" s="75"/>
      <c r="G15" s="75"/>
      <c r="H15" s="75"/>
      <c r="I15" s="75" t="s">
        <v>573</v>
      </c>
      <c r="J15" s="75"/>
      <c r="K15" s="75"/>
      <c r="L15" s="75"/>
      <c r="M15" s="220"/>
      <c r="N15" s="226"/>
      <c r="O15" s="227"/>
      <c r="P15" s="227"/>
      <c r="Q15" s="228">
        <v>454680</v>
      </c>
      <c r="R15" s="227"/>
      <c r="S15" s="228">
        <v>454680</v>
      </c>
      <c r="T15" s="228"/>
      <c r="U15" s="228"/>
      <c r="V15" s="227"/>
      <c r="W15" s="227"/>
      <c r="X15" s="6"/>
    </row>
    <row r="16" spans="1:24" ht="15.75" customHeight="1">
      <c r="A16" s="219"/>
      <c r="B16" s="75"/>
      <c r="C16" s="317" t="s">
        <v>505</v>
      </c>
      <c r="D16" s="317"/>
      <c r="E16" s="317"/>
      <c r="F16" s="75"/>
      <c r="G16" s="75" t="s">
        <v>574</v>
      </c>
      <c r="H16" s="75"/>
      <c r="I16" s="75"/>
      <c r="J16" s="75"/>
      <c r="K16" s="75"/>
      <c r="L16" s="75"/>
      <c r="M16" s="220"/>
      <c r="N16" s="226"/>
      <c r="O16" s="227"/>
      <c r="P16" s="227"/>
      <c r="Q16" s="228">
        <v>885938</v>
      </c>
      <c r="R16" s="227"/>
      <c r="S16" s="228">
        <v>885938</v>
      </c>
      <c r="T16" s="228"/>
      <c r="U16" s="228"/>
      <c r="V16" s="227"/>
      <c r="W16" s="227"/>
      <c r="X16" s="6"/>
    </row>
    <row r="17" spans="1:24" ht="15.75" customHeight="1">
      <c r="A17" s="219"/>
      <c r="B17" s="75"/>
      <c r="C17" s="317"/>
      <c r="D17" s="317" t="s">
        <v>575</v>
      </c>
      <c r="E17" s="317"/>
      <c r="F17" s="75"/>
      <c r="G17" s="75"/>
      <c r="H17" s="75"/>
      <c r="I17" s="75" t="s">
        <v>576</v>
      </c>
      <c r="J17" s="75"/>
      <c r="K17" s="75"/>
      <c r="L17" s="75"/>
      <c r="M17" s="220"/>
      <c r="N17" s="226"/>
      <c r="O17" s="227"/>
      <c r="P17" s="227"/>
      <c r="Q17" s="228">
        <v>885938</v>
      </c>
      <c r="R17" s="227"/>
      <c r="S17" s="228">
        <v>885938</v>
      </c>
      <c r="T17" s="228"/>
      <c r="U17" s="228"/>
      <c r="V17" s="227"/>
      <c r="W17" s="227"/>
      <c r="X17" s="6"/>
    </row>
    <row r="18" spans="1:24" ht="15.75" customHeight="1">
      <c r="A18" s="219"/>
      <c r="B18" s="75"/>
      <c r="C18" s="317" t="s">
        <v>577</v>
      </c>
      <c r="D18" s="317"/>
      <c r="E18" s="317"/>
      <c r="F18" s="75"/>
      <c r="G18" s="75" t="s">
        <v>578</v>
      </c>
      <c r="H18" s="75"/>
      <c r="I18" s="75"/>
      <c r="J18" s="75"/>
      <c r="K18" s="75"/>
      <c r="L18" s="75"/>
      <c r="M18" s="220"/>
      <c r="N18" s="226"/>
      <c r="O18" s="227"/>
      <c r="P18" s="227"/>
      <c r="Q18" s="228">
        <v>52000</v>
      </c>
      <c r="R18" s="227"/>
      <c r="S18" s="228">
        <v>52000</v>
      </c>
      <c r="T18" s="228"/>
      <c r="U18" s="228"/>
      <c r="V18" s="227"/>
      <c r="W18" s="227"/>
      <c r="X18" s="6"/>
    </row>
    <row r="19" spans="1:24" ht="15.75" customHeight="1">
      <c r="A19" s="219"/>
      <c r="B19" s="75"/>
      <c r="C19" s="317"/>
      <c r="D19" s="317" t="s">
        <v>579</v>
      </c>
      <c r="E19" s="317"/>
      <c r="F19" s="75"/>
      <c r="G19" s="75"/>
      <c r="H19" s="75"/>
      <c r="I19" s="75" t="s">
        <v>580</v>
      </c>
      <c r="J19" s="75"/>
      <c r="K19" s="75"/>
      <c r="L19" s="75"/>
      <c r="M19" s="220"/>
      <c r="N19" s="226"/>
      <c r="O19" s="227"/>
      <c r="P19" s="227"/>
      <c r="Q19" s="228">
        <v>52000</v>
      </c>
      <c r="R19" s="227"/>
      <c r="S19" s="228">
        <v>52000</v>
      </c>
      <c r="T19" s="228"/>
      <c r="U19" s="228"/>
      <c r="V19" s="227"/>
      <c r="W19" s="227"/>
      <c r="X19" s="6"/>
    </row>
    <row r="20" spans="1:24" ht="15.75" customHeight="1">
      <c r="A20" s="219"/>
      <c r="B20" s="75"/>
      <c r="C20" s="317" t="s">
        <v>581</v>
      </c>
      <c r="D20" s="317"/>
      <c r="E20" s="317"/>
      <c r="F20" s="75"/>
      <c r="G20" s="75" t="s">
        <v>582</v>
      </c>
      <c r="H20" s="75"/>
      <c r="I20" s="75"/>
      <c r="J20" s="75"/>
      <c r="K20" s="75"/>
      <c r="L20" s="75"/>
      <c r="M20" s="220"/>
      <c r="N20" s="226"/>
      <c r="O20" s="227"/>
      <c r="P20" s="227"/>
      <c r="Q20" s="228">
        <v>11355331</v>
      </c>
      <c r="R20" s="227"/>
      <c r="S20" s="228">
        <v>11355331</v>
      </c>
      <c r="T20" s="228"/>
      <c r="U20" s="228"/>
      <c r="V20" s="227"/>
      <c r="W20" s="227"/>
      <c r="X20" s="6"/>
    </row>
    <row r="21" spans="1:24" ht="15.75" customHeight="1">
      <c r="A21" s="219"/>
      <c r="B21" s="75"/>
      <c r="C21" s="317"/>
      <c r="D21" s="317" t="s">
        <v>583</v>
      </c>
      <c r="E21" s="317"/>
      <c r="F21" s="75"/>
      <c r="G21" s="75"/>
      <c r="H21" s="75"/>
      <c r="I21" s="75" t="s">
        <v>584</v>
      </c>
      <c r="J21" s="75"/>
      <c r="K21" s="75"/>
      <c r="L21" s="75"/>
      <c r="M21" s="220"/>
      <c r="N21" s="226"/>
      <c r="O21" s="227"/>
      <c r="P21" s="227"/>
      <c r="Q21" s="228">
        <v>837775</v>
      </c>
      <c r="R21" s="227"/>
      <c r="S21" s="228">
        <v>837775</v>
      </c>
      <c r="T21" s="228"/>
      <c r="U21" s="228"/>
      <c r="V21" s="227"/>
      <c r="W21" s="227"/>
      <c r="X21" s="6"/>
    </row>
    <row r="22" spans="1:24" ht="15.75" customHeight="1">
      <c r="A22" s="219"/>
      <c r="B22" s="75"/>
      <c r="C22" s="317"/>
      <c r="D22" s="317" t="s">
        <v>585</v>
      </c>
      <c r="E22" s="317"/>
      <c r="F22" s="75"/>
      <c r="G22" s="75"/>
      <c r="H22" s="75"/>
      <c r="I22" s="75" t="s">
        <v>586</v>
      </c>
      <c r="J22" s="75"/>
      <c r="K22" s="75"/>
      <c r="L22" s="75"/>
      <c r="M22" s="220"/>
      <c r="N22" s="226"/>
      <c r="O22" s="227"/>
      <c r="P22" s="227"/>
      <c r="Q22" s="228">
        <v>10517556</v>
      </c>
      <c r="R22" s="227"/>
      <c r="S22" s="228">
        <v>10517556</v>
      </c>
      <c r="T22" s="228"/>
      <c r="U22" s="228"/>
      <c r="V22" s="227"/>
      <c r="W22" s="227"/>
      <c r="X22" s="6"/>
    </row>
    <row r="23" spans="1:24" ht="15.75" customHeight="1">
      <c r="A23" s="219"/>
      <c r="B23" s="75"/>
      <c r="C23" s="75" t="s">
        <v>535</v>
      </c>
      <c r="D23" s="75"/>
      <c r="E23" s="75"/>
      <c r="F23" s="75"/>
      <c r="G23" s="75" t="s">
        <v>587</v>
      </c>
      <c r="H23" s="75"/>
      <c r="I23" s="75"/>
      <c r="J23" s="75"/>
      <c r="K23" s="75"/>
      <c r="L23" s="75"/>
      <c r="M23" s="220"/>
      <c r="N23" s="226"/>
      <c r="O23" s="227"/>
      <c r="P23" s="227"/>
      <c r="Q23" s="228">
        <v>4695873</v>
      </c>
      <c r="R23" s="227"/>
      <c r="S23" s="228">
        <v>4695873</v>
      </c>
      <c r="T23" s="228"/>
      <c r="U23" s="228"/>
      <c r="V23" s="227"/>
      <c r="W23" s="227"/>
      <c r="X23" s="6"/>
    </row>
    <row r="24" spans="1:24" ht="15.75" customHeight="1">
      <c r="A24" s="219"/>
      <c r="B24" s="75"/>
      <c r="C24" s="75"/>
      <c r="D24" s="75" t="s">
        <v>588</v>
      </c>
      <c r="E24" s="75"/>
      <c r="F24" s="75"/>
      <c r="G24" s="75"/>
      <c r="H24" s="75"/>
      <c r="I24" s="75" t="s">
        <v>589</v>
      </c>
      <c r="J24" s="75"/>
      <c r="K24" s="75"/>
      <c r="L24" s="75"/>
      <c r="M24" s="220"/>
      <c r="N24" s="226"/>
      <c r="O24" s="227"/>
      <c r="P24" s="227"/>
      <c r="Q24" s="228">
        <v>4695873</v>
      </c>
      <c r="R24" s="227"/>
      <c r="S24" s="228">
        <v>4695873</v>
      </c>
      <c r="T24" s="228"/>
      <c r="U24" s="228"/>
      <c r="V24" s="227"/>
      <c r="W24" s="227"/>
      <c r="X24" s="6"/>
    </row>
    <row r="25" spans="1:24" ht="15.75" customHeight="1">
      <c r="A25" s="219"/>
      <c r="B25" s="75"/>
      <c r="C25" s="75" t="s">
        <v>590</v>
      </c>
      <c r="D25" s="75"/>
      <c r="E25" s="75"/>
      <c r="F25" s="75"/>
      <c r="G25" s="75" t="s">
        <v>591</v>
      </c>
      <c r="H25" s="75"/>
      <c r="I25" s="75"/>
      <c r="J25" s="75"/>
      <c r="K25" s="75"/>
      <c r="L25" s="75"/>
      <c r="M25" s="220"/>
      <c r="N25" s="226"/>
      <c r="O25" s="227"/>
      <c r="P25" s="227"/>
      <c r="Q25" s="228">
        <v>3528262</v>
      </c>
      <c r="R25" s="227"/>
      <c r="S25" s="228">
        <v>3528262</v>
      </c>
      <c r="T25" s="228"/>
      <c r="U25" s="228"/>
      <c r="V25" s="227"/>
      <c r="W25" s="227"/>
      <c r="X25" s="6"/>
    </row>
    <row r="26" spans="1:24" ht="15.75" customHeight="1">
      <c r="A26" s="219"/>
      <c r="B26" s="75"/>
      <c r="C26" s="75"/>
      <c r="D26" s="75" t="s">
        <v>592</v>
      </c>
      <c r="E26" s="75"/>
      <c r="F26" s="75"/>
      <c r="G26" s="75"/>
      <c r="H26" s="75"/>
      <c r="I26" s="75" t="s">
        <v>593</v>
      </c>
      <c r="J26" s="75"/>
      <c r="K26" s="75"/>
      <c r="L26" s="75"/>
      <c r="M26" s="220"/>
      <c r="N26" s="226"/>
      <c r="O26" s="227"/>
      <c r="P26" s="227"/>
      <c r="Q26" s="228">
        <v>3373062</v>
      </c>
      <c r="R26" s="227"/>
      <c r="S26" s="228">
        <v>3373062</v>
      </c>
      <c r="T26" s="228"/>
      <c r="U26" s="228"/>
      <c r="V26" s="227"/>
      <c r="W26" s="227"/>
      <c r="X26" s="6"/>
    </row>
    <row r="27" spans="1:24" ht="15.75" customHeight="1">
      <c r="A27" s="219"/>
      <c r="B27" s="75"/>
      <c r="C27" s="75"/>
      <c r="D27" s="75" t="s">
        <v>594</v>
      </c>
      <c r="E27" s="75"/>
      <c r="F27" s="75"/>
      <c r="G27" s="75"/>
      <c r="H27" s="75"/>
      <c r="I27" s="75" t="s">
        <v>595</v>
      </c>
      <c r="J27" s="75"/>
      <c r="K27" s="75"/>
      <c r="L27" s="75"/>
      <c r="M27" s="220"/>
      <c r="N27" s="226"/>
      <c r="O27" s="227"/>
      <c r="P27" s="227"/>
      <c r="Q27" s="228">
        <v>155200</v>
      </c>
      <c r="R27" s="227"/>
      <c r="S27" s="228">
        <v>155200</v>
      </c>
      <c r="T27" s="228"/>
      <c r="U27" s="228"/>
      <c r="V27" s="227"/>
      <c r="W27" s="227"/>
      <c r="X27" s="6"/>
    </row>
    <row r="28" spans="1:24" ht="15.75" customHeight="1">
      <c r="A28" s="219"/>
      <c r="B28" s="75" t="s">
        <v>540</v>
      </c>
      <c r="C28" s="75"/>
      <c r="D28" s="75"/>
      <c r="E28" s="75"/>
      <c r="F28" s="75" t="s">
        <v>596</v>
      </c>
      <c r="G28" s="75"/>
      <c r="H28" s="75"/>
      <c r="I28" s="75"/>
      <c r="J28" s="75"/>
      <c r="K28" s="75"/>
      <c r="L28" s="75"/>
      <c r="M28" s="220"/>
      <c r="N28" s="226"/>
      <c r="O28" s="228">
        <v>3546000</v>
      </c>
      <c r="P28" s="227"/>
      <c r="Q28" s="228">
        <v>1395110</v>
      </c>
      <c r="R28" s="227"/>
      <c r="S28" s="228">
        <v>-2150890</v>
      </c>
      <c r="T28" s="228"/>
      <c r="U28" s="228"/>
      <c r="V28" s="227"/>
      <c r="W28" s="228" t="s">
        <v>597</v>
      </c>
      <c r="X28" s="6"/>
    </row>
    <row r="29" spans="1:24" ht="15.75" customHeight="1">
      <c r="A29" s="219"/>
      <c r="B29" s="75"/>
      <c r="C29" s="75" t="s">
        <v>542</v>
      </c>
      <c r="D29" s="75"/>
      <c r="E29" s="75"/>
      <c r="F29" s="75"/>
      <c r="G29" s="75" t="s">
        <v>598</v>
      </c>
      <c r="H29" s="75"/>
      <c r="I29" s="75"/>
      <c r="J29" s="75"/>
      <c r="K29" s="75"/>
      <c r="L29" s="75"/>
      <c r="M29" s="220"/>
      <c r="N29" s="226"/>
      <c r="O29" s="227"/>
      <c r="P29" s="227"/>
      <c r="Q29" s="228">
        <v>318185</v>
      </c>
      <c r="R29" s="227"/>
      <c r="S29" s="228">
        <v>318185</v>
      </c>
      <c r="T29" s="228"/>
      <c r="U29" s="228"/>
      <c r="V29" s="227"/>
      <c r="W29" s="227"/>
      <c r="X29" s="6"/>
    </row>
    <row r="30" spans="1:24" ht="15.75" customHeight="1">
      <c r="A30" s="219"/>
      <c r="B30" s="75"/>
      <c r="C30" s="75"/>
      <c r="D30" s="75" t="s">
        <v>599</v>
      </c>
      <c r="E30" s="75"/>
      <c r="F30" s="75"/>
      <c r="G30" s="75"/>
      <c r="H30" s="75"/>
      <c r="I30" s="75" t="s">
        <v>600</v>
      </c>
      <c r="J30" s="75"/>
      <c r="K30" s="75"/>
      <c r="L30" s="75"/>
      <c r="M30" s="220"/>
      <c r="N30" s="226"/>
      <c r="O30" s="227"/>
      <c r="P30" s="227"/>
      <c r="Q30" s="228">
        <v>299005</v>
      </c>
      <c r="R30" s="227"/>
      <c r="S30" s="228">
        <v>299005</v>
      </c>
      <c r="T30" s="228"/>
      <c r="U30" s="228"/>
      <c r="V30" s="227"/>
      <c r="W30" s="227"/>
      <c r="X30" s="6"/>
    </row>
    <row r="31" spans="1:24" ht="15.75" customHeight="1">
      <c r="A31" s="219"/>
      <c r="B31" s="75"/>
      <c r="C31" s="75"/>
      <c r="D31" s="75" t="s">
        <v>601</v>
      </c>
      <c r="E31" s="75"/>
      <c r="F31" s="75"/>
      <c r="G31" s="75"/>
      <c r="H31" s="75"/>
      <c r="I31" s="75" t="s">
        <v>602</v>
      </c>
      <c r="J31" s="75"/>
      <c r="K31" s="75"/>
      <c r="L31" s="75"/>
      <c r="M31" s="220"/>
      <c r="N31" s="226"/>
      <c r="O31" s="227"/>
      <c r="P31" s="227"/>
      <c r="Q31" s="228">
        <v>19180</v>
      </c>
      <c r="R31" s="227"/>
      <c r="S31" s="228">
        <v>19180</v>
      </c>
      <c r="T31" s="228"/>
      <c r="U31" s="228"/>
      <c r="V31" s="227"/>
      <c r="W31" s="227"/>
      <c r="X31" s="6"/>
    </row>
    <row r="32" spans="1:24" ht="15.75" customHeight="1">
      <c r="A32" s="219"/>
      <c r="B32" s="75"/>
      <c r="C32" s="75" t="s">
        <v>603</v>
      </c>
      <c r="D32" s="75"/>
      <c r="E32" s="75"/>
      <c r="F32" s="75"/>
      <c r="G32" s="75" t="s">
        <v>604</v>
      </c>
      <c r="H32" s="75"/>
      <c r="I32" s="75"/>
      <c r="J32" s="75"/>
      <c r="K32" s="75"/>
      <c r="L32" s="75"/>
      <c r="M32" s="220"/>
      <c r="N32" s="226"/>
      <c r="O32" s="227"/>
      <c r="P32" s="227"/>
      <c r="Q32" s="228">
        <v>36407</v>
      </c>
      <c r="R32" s="227"/>
      <c r="S32" s="228">
        <v>36407</v>
      </c>
      <c r="T32" s="228"/>
      <c r="U32" s="228"/>
      <c r="V32" s="227"/>
      <c r="W32" s="227"/>
      <c r="X32" s="6"/>
    </row>
    <row r="33" spans="1:24" ht="15.75" customHeight="1">
      <c r="A33" s="219"/>
      <c r="B33" s="75"/>
      <c r="C33" s="75"/>
      <c r="D33" s="75" t="s">
        <v>605</v>
      </c>
      <c r="E33" s="75"/>
      <c r="F33" s="75"/>
      <c r="G33" s="75"/>
      <c r="H33" s="75"/>
      <c r="I33" s="75" t="s">
        <v>606</v>
      </c>
      <c r="J33" s="75"/>
      <c r="K33" s="75"/>
      <c r="L33" s="75"/>
      <c r="M33" s="220"/>
      <c r="N33" s="226"/>
      <c r="O33" s="227"/>
      <c r="P33" s="227"/>
      <c r="Q33" s="228">
        <v>5735</v>
      </c>
      <c r="R33" s="227"/>
      <c r="S33" s="228">
        <v>5735</v>
      </c>
      <c r="T33" s="228"/>
      <c r="U33" s="228"/>
      <c r="V33" s="227"/>
      <c r="W33" s="227"/>
      <c r="X33" s="6"/>
    </row>
    <row r="34" spans="1:24" ht="15.75" customHeight="1">
      <c r="A34" s="219"/>
      <c r="B34" s="75"/>
      <c r="C34" s="75"/>
      <c r="D34" s="75" t="s">
        <v>607</v>
      </c>
      <c r="E34" s="75"/>
      <c r="F34" s="75"/>
      <c r="G34" s="75"/>
      <c r="H34" s="75"/>
      <c r="I34" s="75" t="s">
        <v>608</v>
      </c>
      <c r="J34" s="75"/>
      <c r="K34" s="75"/>
      <c r="L34" s="75"/>
      <c r="M34" s="220"/>
      <c r="N34" s="226"/>
      <c r="O34" s="227"/>
      <c r="P34" s="227"/>
      <c r="Q34" s="228">
        <v>30672</v>
      </c>
      <c r="R34" s="227"/>
      <c r="S34" s="228">
        <v>30672</v>
      </c>
      <c r="T34" s="228"/>
      <c r="U34" s="228"/>
      <c r="V34" s="227"/>
      <c r="W34" s="227"/>
      <c r="X34" s="6"/>
    </row>
    <row r="35" spans="1:24" ht="15.75" customHeight="1">
      <c r="A35" s="219"/>
      <c r="B35" s="75"/>
      <c r="C35" s="75" t="s">
        <v>609</v>
      </c>
      <c r="D35" s="75"/>
      <c r="E35" s="75"/>
      <c r="F35" s="75"/>
      <c r="G35" s="75" t="s">
        <v>610</v>
      </c>
      <c r="H35" s="75"/>
      <c r="I35" s="75"/>
      <c r="J35" s="75"/>
      <c r="K35" s="75"/>
      <c r="L35" s="75"/>
      <c r="M35" s="220"/>
      <c r="N35" s="226"/>
      <c r="O35" s="227"/>
      <c r="P35" s="227"/>
      <c r="Q35" s="228">
        <v>4381</v>
      </c>
      <c r="R35" s="227"/>
      <c r="S35" s="228">
        <v>4381</v>
      </c>
      <c r="T35" s="228"/>
      <c r="U35" s="228"/>
      <c r="V35" s="227"/>
      <c r="W35" s="227"/>
      <c r="X35" s="6"/>
    </row>
    <row r="36" spans="1:24" ht="15.6" customHeight="1">
      <c r="A36" s="221"/>
      <c r="B36" s="76"/>
      <c r="C36" s="76"/>
      <c r="D36" s="76" t="s">
        <v>611</v>
      </c>
      <c r="E36" s="76"/>
      <c r="F36" s="76"/>
      <c r="G36" s="76"/>
      <c r="H36" s="76"/>
      <c r="I36" s="76" t="s">
        <v>612</v>
      </c>
      <c r="J36" s="76"/>
      <c r="K36" s="76"/>
      <c r="L36" s="76"/>
      <c r="M36" s="222"/>
      <c r="N36" s="229"/>
      <c r="O36" s="230"/>
      <c r="P36" s="230"/>
      <c r="Q36" s="231">
        <v>4381</v>
      </c>
      <c r="R36" s="230"/>
      <c r="S36" s="231">
        <v>4381</v>
      </c>
      <c r="T36" s="231"/>
      <c r="U36" s="231"/>
      <c r="V36" s="230"/>
      <c r="W36" s="230"/>
      <c r="X36" s="6"/>
    </row>
    <row r="37" spans="1:24" ht="15.75" customHeight="1">
      <c r="A37" s="217"/>
      <c r="B37" s="74"/>
      <c r="C37" s="74" t="s">
        <v>613</v>
      </c>
      <c r="D37" s="74"/>
      <c r="E37" s="74"/>
      <c r="F37" s="74"/>
      <c r="G37" s="74" t="s">
        <v>614</v>
      </c>
      <c r="H37" s="74"/>
      <c r="I37" s="74"/>
      <c r="J37" s="74"/>
      <c r="K37" s="74"/>
      <c r="L37" s="74"/>
      <c r="M37" s="218"/>
      <c r="N37" s="223"/>
      <c r="O37" s="225"/>
      <c r="P37" s="225"/>
      <c r="Q37" s="224">
        <v>24100</v>
      </c>
      <c r="R37" s="225"/>
      <c r="S37" s="224">
        <v>24100</v>
      </c>
      <c r="T37" s="224"/>
      <c r="U37" s="224"/>
      <c r="V37" s="225"/>
      <c r="W37" s="225"/>
      <c r="X37" s="6"/>
    </row>
    <row r="38" spans="1:24" ht="15.75" customHeight="1">
      <c r="A38" s="219"/>
      <c r="B38" s="75"/>
      <c r="C38" s="75"/>
      <c r="D38" s="75" t="s">
        <v>615</v>
      </c>
      <c r="E38" s="75"/>
      <c r="F38" s="75"/>
      <c r="G38" s="75"/>
      <c r="H38" s="75"/>
      <c r="I38" s="75" t="s">
        <v>616</v>
      </c>
      <c r="J38" s="75"/>
      <c r="K38" s="75"/>
      <c r="L38" s="75"/>
      <c r="M38" s="220"/>
      <c r="N38" s="226"/>
      <c r="O38" s="227"/>
      <c r="P38" s="227"/>
      <c r="Q38" s="228">
        <v>24100</v>
      </c>
      <c r="R38" s="227"/>
      <c r="S38" s="228">
        <v>24100</v>
      </c>
      <c r="T38" s="228"/>
      <c r="U38" s="228"/>
      <c r="V38" s="227"/>
      <c r="W38" s="227"/>
      <c r="X38" s="6"/>
    </row>
    <row r="39" spans="1:24" ht="15.75" customHeight="1">
      <c r="A39" s="219"/>
      <c r="B39" s="75"/>
      <c r="C39" s="75" t="s">
        <v>617</v>
      </c>
      <c r="D39" s="75"/>
      <c r="E39" s="75"/>
      <c r="F39" s="75"/>
      <c r="G39" s="75" t="s">
        <v>618</v>
      </c>
      <c r="H39" s="75"/>
      <c r="I39" s="75"/>
      <c r="J39" s="75"/>
      <c r="K39" s="75"/>
      <c r="L39" s="75"/>
      <c r="M39" s="220"/>
      <c r="N39" s="226"/>
      <c r="O39" s="227"/>
      <c r="P39" s="227"/>
      <c r="Q39" s="228">
        <v>173435</v>
      </c>
      <c r="R39" s="227"/>
      <c r="S39" s="228">
        <v>173435</v>
      </c>
      <c r="T39" s="228"/>
      <c r="U39" s="228"/>
      <c r="V39" s="227"/>
      <c r="W39" s="227"/>
      <c r="X39" s="6"/>
    </row>
    <row r="40" spans="1:24" ht="15.75" customHeight="1">
      <c r="A40" s="219"/>
      <c r="B40" s="75"/>
      <c r="C40" s="75"/>
      <c r="D40" s="75" t="s">
        <v>619</v>
      </c>
      <c r="E40" s="75"/>
      <c r="F40" s="75"/>
      <c r="G40" s="75"/>
      <c r="H40" s="75"/>
      <c r="I40" s="75" t="s">
        <v>620</v>
      </c>
      <c r="J40" s="75"/>
      <c r="K40" s="75"/>
      <c r="L40" s="75"/>
      <c r="M40" s="220"/>
      <c r="N40" s="226"/>
      <c r="O40" s="227"/>
      <c r="P40" s="227"/>
      <c r="Q40" s="228">
        <v>45663</v>
      </c>
      <c r="R40" s="227"/>
      <c r="S40" s="228">
        <v>45663</v>
      </c>
      <c r="T40" s="228"/>
      <c r="U40" s="228"/>
      <c r="V40" s="227"/>
      <c r="W40" s="227"/>
      <c r="X40" s="6"/>
    </row>
    <row r="41" spans="1:24" ht="15.75" customHeight="1">
      <c r="A41" s="219"/>
      <c r="B41" s="75"/>
      <c r="C41" s="75"/>
      <c r="D41" s="75" t="s">
        <v>621</v>
      </c>
      <c r="E41" s="75"/>
      <c r="F41" s="75"/>
      <c r="G41" s="75"/>
      <c r="H41" s="75"/>
      <c r="I41" s="75" t="s">
        <v>622</v>
      </c>
      <c r="J41" s="75"/>
      <c r="K41" s="75"/>
      <c r="L41" s="75"/>
      <c r="M41" s="220"/>
      <c r="N41" s="226"/>
      <c r="O41" s="227"/>
      <c r="P41" s="227"/>
      <c r="Q41" s="228">
        <v>50472</v>
      </c>
      <c r="R41" s="227"/>
      <c r="S41" s="228">
        <v>50472</v>
      </c>
      <c r="T41" s="228"/>
      <c r="U41" s="228"/>
      <c r="V41" s="227"/>
      <c r="W41" s="227"/>
      <c r="X41" s="6"/>
    </row>
    <row r="42" spans="1:24" ht="15.75" customHeight="1">
      <c r="A42" s="219"/>
      <c r="B42" s="75"/>
      <c r="C42" s="75"/>
      <c r="D42" s="75" t="s">
        <v>623</v>
      </c>
      <c r="E42" s="75"/>
      <c r="F42" s="75"/>
      <c r="G42" s="75"/>
      <c r="H42" s="75"/>
      <c r="I42" s="75" t="s">
        <v>624</v>
      </c>
      <c r="J42" s="75"/>
      <c r="K42" s="75"/>
      <c r="L42" s="75"/>
      <c r="M42" s="220"/>
      <c r="N42" s="226"/>
      <c r="O42" s="227"/>
      <c r="P42" s="227"/>
      <c r="Q42" s="228">
        <v>5360</v>
      </c>
      <c r="R42" s="227"/>
      <c r="S42" s="228">
        <v>5360</v>
      </c>
      <c r="T42" s="228"/>
      <c r="U42" s="228"/>
      <c r="V42" s="227"/>
      <c r="W42" s="227"/>
      <c r="X42" s="6"/>
    </row>
    <row r="43" spans="1:24" ht="15.75" customHeight="1">
      <c r="A43" s="219"/>
      <c r="B43" s="75"/>
      <c r="C43" s="75"/>
      <c r="D43" s="75" t="s">
        <v>625</v>
      </c>
      <c r="E43" s="75"/>
      <c r="F43" s="75"/>
      <c r="G43" s="75"/>
      <c r="H43" s="75"/>
      <c r="I43" s="75" t="s">
        <v>626</v>
      </c>
      <c r="J43" s="75"/>
      <c r="K43" s="75"/>
      <c r="L43" s="75"/>
      <c r="M43" s="220"/>
      <c r="N43" s="226"/>
      <c r="O43" s="227"/>
      <c r="P43" s="227"/>
      <c r="Q43" s="228">
        <v>71940</v>
      </c>
      <c r="R43" s="227"/>
      <c r="S43" s="228">
        <v>71940</v>
      </c>
      <c r="T43" s="228"/>
      <c r="U43" s="228"/>
      <c r="V43" s="227"/>
      <c r="W43" s="227"/>
      <c r="X43" s="6"/>
    </row>
    <row r="44" spans="1:24" ht="15.75" customHeight="1">
      <c r="A44" s="219"/>
      <c r="B44" s="75"/>
      <c r="C44" s="75" t="s">
        <v>627</v>
      </c>
      <c r="D44" s="75"/>
      <c r="E44" s="75"/>
      <c r="F44" s="75"/>
      <c r="G44" s="75" t="s">
        <v>628</v>
      </c>
      <c r="H44" s="75"/>
      <c r="I44" s="75"/>
      <c r="J44" s="75"/>
      <c r="K44" s="75"/>
      <c r="L44" s="75"/>
      <c r="M44" s="220"/>
      <c r="N44" s="226"/>
      <c r="O44" s="227"/>
      <c r="P44" s="227"/>
      <c r="Q44" s="228">
        <v>629526</v>
      </c>
      <c r="R44" s="227"/>
      <c r="S44" s="228">
        <v>629526</v>
      </c>
      <c r="T44" s="228"/>
      <c r="U44" s="228"/>
      <c r="V44" s="227"/>
      <c r="W44" s="227"/>
      <c r="X44" s="6"/>
    </row>
    <row r="45" spans="1:24" ht="15.75" customHeight="1">
      <c r="A45" s="219"/>
      <c r="B45" s="75"/>
      <c r="C45" s="75"/>
      <c r="D45" s="75" t="s">
        <v>629</v>
      </c>
      <c r="E45" s="75"/>
      <c r="F45" s="75"/>
      <c r="G45" s="75"/>
      <c r="H45" s="75"/>
      <c r="I45" s="75" t="s">
        <v>630</v>
      </c>
      <c r="J45" s="75"/>
      <c r="K45" s="75"/>
      <c r="L45" s="75"/>
      <c r="M45" s="220"/>
      <c r="N45" s="226"/>
      <c r="O45" s="227"/>
      <c r="P45" s="227"/>
      <c r="Q45" s="228">
        <v>150</v>
      </c>
      <c r="R45" s="227"/>
      <c r="S45" s="228">
        <v>150</v>
      </c>
      <c r="T45" s="228"/>
      <c r="U45" s="228"/>
      <c r="V45" s="227"/>
      <c r="W45" s="227"/>
      <c r="X45" s="6"/>
    </row>
    <row r="46" spans="1:24" ht="15.75" customHeight="1">
      <c r="A46" s="219"/>
      <c r="B46" s="75"/>
      <c r="C46" s="75"/>
      <c r="D46" s="75" t="s">
        <v>631</v>
      </c>
      <c r="E46" s="75"/>
      <c r="F46" s="75"/>
      <c r="G46" s="75"/>
      <c r="H46" s="75"/>
      <c r="I46" s="75" t="s">
        <v>632</v>
      </c>
      <c r="J46" s="75"/>
      <c r="K46" s="75"/>
      <c r="L46" s="75"/>
      <c r="M46" s="220"/>
      <c r="N46" s="226"/>
      <c r="O46" s="227"/>
      <c r="P46" s="227"/>
      <c r="Q46" s="228">
        <v>490376</v>
      </c>
      <c r="R46" s="227"/>
      <c r="S46" s="228">
        <v>490376</v>
      </c>
      <c r="T46" s="228"/>
      <c r="U46" s="228"/>
      <c r="V46" s="227"/>
      <c r="W46" s="227"/>
      <c r="X46" s="6"/>
    </row>
    <row r="47" spans="1:24" ht="15.75" customHeight="1">
      <c r="A47" s="219"/>
      <c r="B47" s="75"/>
      <c r="C47" s="75"/>
      <c r="D47" s="75" t="s">
        <v>633</v>
      </c>
      <c r="E47" s="75"/>
      <c r="F47" s="75"/>
      <c r="G47" s="75"/>
      <c r="H47" s="75"/>
      <c r="I47" s="75" t="s">
        <v>634</v>
      </c>
      <c r="J47" s="75"/>
      <c r="K47" s="75"/>
      <c r="L47" s="75"/>
      <c r="M47" s="220"/>
      <c r="N47" s="226"/>
      <c r="O47" s="227"/>
      <c r="P47" s="227"/>
      <c r="Q47" s="228">
        <v>139000</v>
      </c>
      <c r="R47" s="227"/>
      <c r="S47" s="228">
        <v>139000</v>
      </c>
      <c r="T47" s="228"/>
      <c r="U47" s="228"/>
      <c r="V47" s="227"/>
      <c r="W47" s="227"/>
      <c r="X47" s="6"/>
    </row>
    <row r="48" spans="1:24" ht="15.75" customHeight="1">
      <c r="A48" s="219"/>
      <c r="B48" s="75"/>
      <c r="C48" s="75" t="s">
        <v>550</v>
      </c>
      <c r="D48" s="75"/>
      <c r="E48" s="75"/>
      <c r="F48" s="75"/>
      <c r="G48" s="75" t="s">
        <v>635</v>
      </c>
      <c r="H48" s="75"/>
      <c r="I48" s="75"/>
      <c r="J48" s="75"/>
      <c r="K48" s="75"/>
      <c r="L48" s="75"/>
      <c r="M48" s="220"/>
      <c r="N48" s="226"/>
      <c r="O48" s="227"/>
      <c r="P48" s="227"/>
      <c r="Q48" s="228">
        <v>200796</v>
      </c>
      <c r="R48" s="227"/>
      <c r="S48" s="228">
        <v>200796</v>
      </c>
      <c r="T48" s="228"/>
      <c r="U48" s="228"/>
      <c r="V48" s="227"/>
      <c r="W48" s="227"/>
      <c r="X48" s="6"/>
    </row>
    <row r="49" spans="1:24" ht="15.75" customHeight="1">
      <c r="A49" s="219"/>
      <c r="B49" s="75"/>
      <c r="C49" s="75"/>
      <c r="D49" s="75" t="s">
        <v>636</v>
      </c>
      <c r="E49" s="75"/>
      <c r="F49" s="75"/>
      <c r="G49" s="75"/>
      <c r="H49" s="75"/>
      <c r="I49" s="75" t="s">
        <v>637</v>
      </c>
      <c r="J49" s="75"/>
      <c r="K49" s="75"/>
      <c r="L49" s="75"/>
      <c r="M49" s="220"/>
      <c r="N49" s="226"/>
      <c r="O49" s="227"/>
      <c r="P49" s="227"/>
      <c r="Q49" s="228">
        <v>60500</v>
      </c>
      <c r="R49" s="227"/>
      <c r="S49" s="228">
        <v>60500</v>
      </c>
      <c r="T49" s="228"/>
      <c r="U49" s="228"/>
      <c r="V49" s="227"/>
      <c r="W49" s="227"/>
      <c r="X49" s="6"/>
    </row>
    <row r="50" spans="1:24" ht="15.75" customHeight="1">
      <c r="A50" s="219"/>
      <c r="B50" s="75"/>
      <c r="C50" s="75"/>
      <c r="D50" s="75" t="s">
        <v>638</v>
      </c>
      <c r="E50" s="75"/>
      <c r="F50" s="75"/>
      <c r="G50" s="75"/>
      <c r="H50" s="75"/>
      <c r="I50" s="75" t="s">
        <v>639</v>
      </c>
      <c r="J50" s="75"/>
      <c r="K50" s="75"/>
      <c r="L50" s="75"/>
      <c r="M50" s="220"/>
      <c r="N50" s="226"/>
      <c r="O50" s="227"/>
      <c r="P50" s="227"/>
      <c r="Q50" s="228">
        <v>18200</v>
      </c>
      <c r="R50" s="227"/>
      <c r="S50" s="228">
        <v>18200</v>
      </c>
      <c r="T50" s="228"/>
      <c r="U50" s="228"/>
      <c r="V50" s="227"/>
      <c r="W50" s="227"/>
      <c r="X50" s="6"/>
    </row>
    <row r="51" spans="1:24" ht="15.75" customHeight="1">
      <c r="A51" s="219"/>
      <c r="B51" s="75"/>
      <c r="C51" s="75"/>
      <c r="D51" s="75" t="s">
        <v>640</v>
      </c>
      <c r="E51" s="75"/>
      <c r="F51" s="75"/>
      <c r="G51" s="75"/>
      <c r="H51" s="75"/>
      <c r="I51" s="75" t="s">
        <v>641</v>
      </c>
      <c r="J51" s="75"/>
      <c r="K51" s="75"/>
      <c r="L51" s="75"/>
      <c r="M51" s="220"/>
      <c r="N51" s="226"/>
      <c r="O51" s="227"/>
      <c r="P51" s="227"/>
      <c r="Q51" s="228">
        <v>91800</v>
      </c>
      <c r="R51" s="227"/>
      <c r="S51" s="228">
        <v>91800</v>
      </c>
      <c r="T51" s="228"/>
      <c r="U51" s="228"/>
      <c r="V51" s="227"/>
      <c r="W51" s="227"/>
      <c r="X51" s="6"/>
    </row>
    <row r="52" spans="1:24" ht="15.75" customHeight="1">
      <c r="A52" s="219"/>
      <c r="B52" s="75"/>
      <c r="C52" s="75"/>
      <c r="D52" s="75" t="s">
        <v>642</v>
      </c>
      <c r="E52" s="75"/>
      <c r="F52" s="75"/>
      <c r="G52" s="75"/>
      <c r="H52" s="75"/>
      <c r="I52" s="75" t="s">
        <v>643</v>
      </c>
      <c r="J52" s="75"/>
      <c r="K52" s="75"/>
      <c r="L52" s="75"/>
      <c r="M52" s="220"/>
      <c r="N52" s="226"/>
      <c r="O52" s="227"/>
      <c r="P52" s="227"/>
      <c r="Q52" s="228">
        <v>30296</v>
      </c>
      <c r="R52" s="227"/>
      <c r="S52" s="228">
        <v>30296</v>
      </c>
      <c r="T52" s="228"/>
      <c r="U52" s="228"/>
      <c r="V52" s="227"/>
      <c r="W52" s="227"/>
      <c r="X52" s="6"/>
    </row>
    <row r="53" spans="1:24" ht="15.75" customHeight="1">
      <c r="A53" s="219"/>
      <c r="B53" s="75"/>
      <c r="C53" s="75" t="s">
        <v>644</v>
      </c>
      <c r="D53" s="75"/>
      <c r="E53" s="75"/>
      <c r="F53" s="75"/>
      <c r="G53" s="75" t="s">
        <v>645</v>
      </c>
      <c r="H53" s="75"/>
      <c r="I53" s="75"/>
      <c r="J53" s="75"/>
      <c r="K53" s="75"/>
      <c r="L53" s="75"/>
      <c r="M53" s="220"/>
      <c r="N53" s="226"/>
      <c r="O53" s="228"/>
      <c r="P53" s="227"/>
      <c r="Q53" s="228">
        <v>8280</v>
      </c>
      <c r="R53" s="227"/>
      <c r="S53" s="228">
        <v>8280</v>
      </c>
      <c r="T53" s="228"/>
      <c r="U53" s="228"/>
      <c r="V53" s="227"/>
      <c r="W53" s="228"/>
      <c r="X53" s="6"/>
    </row>
    <row r="54" spans="1:24" ht="15.75" customHeight="1">
      <c r="A54" s="219"/>
      <c r="B54" s="75"/>
      <c r="C54" s="75"/>
      <c r="D54" s="75" t="s">
        <v>646</v>
      </c>
      <c r="E54" s="75"/>
      <c r="F54" s="75"/>
      <c r="G54" s="75"/>
      <c r="H54" s="75"/>
      <c r="I54" s="75" t="s">
        <v>645</v>
      </c>
      <c r="J54" s="75"/>
      <c r="K54" s="75"/>
      <c r="L54" s="75"/>
      <c r="M54" s="220"/>
      <c r="N54" s="226"/>
      <c r="O54" s="227"/>
      <c r="P54" s="227"/>
      <c r="Q54" s="228">
        <v>8280</v>
      </c>
      <c r="R54" s="227"/>
      <c r="S54" s="228">
        <v>8280</v>
      </c>
      <c r="T54" s="228"/>
      <c r="U54" s="228"/>
      <c r="V54" s="227"/>
      <c r="W54" s="227"/>
      <c r="X54" s="6"/>
    </row>
    <row r="55" spans="1:24" ht="15.75" customHeight="1">
      <c r="A55" s="219"/>
      <c r="B55" s="75" t="s">
        <v>558</v>
      </c>
      <c r="C55" s="75"/>
      <c r="D55" s="75"/>
      <c r="E55" s="75"/>
      <c r="F55" s="75" t="s">
        <v>647</v>
      </c>
      <c r="G55" s="75"/>
      <c r="H55" s="75"/>
      <c r="I55" s="75"/>
      <c r="J55" s="75"/>
      <c r="K55" s="75"/>
      <c r="L55" s="75"/>
      <c r="M55" s="220"/>
      <c r="N55" s="226"/>
      <c r="O55" s="227">
        <v>554000</v>
      </c>
      <c r="P55" s="227"/>
      <c r="Q55" s="228">
        <v>181201</v>
      </c>
      <c r="R55" s="227"/>
      <c r="S55" s="228">
        <v>-372799</v>
      </c>
      <c r="T55" s="228"/>
      <c r="U55" s="228"/>
      <c r="V55" s="227"/>
      <c r="W55" s="227" t="s">
        <v>648</v>
      </c>
      <c r="X55" s="6"/>
    </row>
    <row r="56" spans="1:24" ht="15.75" customHeight="1">
      <c r="A56" s="219"/>
      <c r="B56" s="75"/>
      <c r="C56" s="75" t="s">
        <v>649</v>
      </c>
      <c r="D56" s="75"/>
      <c r="E56" s="75"/>
      <c r="F56" s="75"/>
      <c r="G56" s="75" t="s">
        <v>650</v>
      </c>
      <c r="H56" s="75"/>
      <c r="I56" s="75"/>
      <c r="J56" s="75"/>
      <c r="K56" s="75"/>
      <c r="L56" s="75"/>
      <c r="M56" s="220"/>
      <c r="N56" s="226"/>
      <c r="O56" s="227"/>
      <c r="P56" s="227"/>
      <c r="Q56" s="228">
        <v>181201</v>
      </c>
      <c r="R56" s="227"/>
      <c r="S56" s="228">
        <v>181201</v>
      </c>
      <c r="T56" s="228"/>
      <c r="U56" s="228"/>
      <c r="V56" s="227"/>
      <c r="W56" s="227"/>
      <c r="X56" s="6"/>
    </row>
    <row r="57" spans="1:24" ht="15.75" customHeight="1">
      <c r="A57" s="219"/>
      <c r="B57" s="75"/>
      <c r="C57" s="75"/>
      <c r="D57" s="75" t="s">
        <v>651</v>
      </c>
      <c r="E57" s="75"/>
      <c r="F57" s="75"/>
      <c r="G57" s="75"/>
      <c r="H57" s="75"/>
      <c r="I57" s="75" t="s">
        <v>652</v>
      </c>
      <c r="J57" s="75"/>
      <c r="K57" s="75"/>
      <c r="L57" s="75"/>
      <c r="M57" s="220"/>
      <c r="N57" s="226"/>
      <c r="O57" s="227"/>
      <c r="P57" s="227"/>
      <c r="Q57" s="228">
        <v>90977</v>
      </c>
      <c r="R57" s="227"/>
      <c r="S57" s="228">
        <v>90977</v>
      </c>
      <c r="T57" s="228"/>
      <c r="U57" s="228"/>
      <c r="V57" s="227"/>
      <c r="W57" s="227"/>
      <c r="X57" s="6"/>
    </row>
    <row r="58" spans="1:24" ht="15.75" customHeight="1">
      <c r="A58" s="219"/>
      <c r="B58" s="75"/>
      <c r="C58" s="75"/>
      <c r="D58" s="75" t="s">
        <v>653</v>
      </c>
      <c r="E58" s="75"/>
      <c r="F58" s="75"/>
      <c r="G58" s="75"/>
      <c r="H58" s="75"/>
      <c r="I58" s="75" t="s">
        <v>654</v>
      </c>
      <c r="J58" s="75"/>
      <c r="K58" s="75"/>
      <c r="L58" s="75"/>
      <c r="M58" s="220"/>
      <c r="N58" s="226"/>
      <c r="O58" s="227"/>
      <c r="P58" s="227"/>
      <c r="Q58" s="228">
        <v>2400</v>
      </c>
      <c r="R58" s="227"/>
      <c r="S58" s="228">
        <v>2400</v>
      </c>
      <c r="T58" s="228"/>
      <c r="U58" s="228"/>
      <c r="V58" s="227"/>
      <c r="W58" s="227"/>
      <c r="X58" s="6"/>
    </row>
    <row r="59" spans="1:24" ht="15.75" customHeight="1">
      <c r="A59" s="219"/>
      <c r="B59" s="75"/>
      <c r="C59" s="75"/>
      <c r="D59" s="75" t="s">
        <v>655</v>
      </c>
      <c r="E59" s="75"/>
      <c r="F59" s="75"/>
      <c r="G59" s="75"/>
      <c r="H59" s="75"/>
      <c r="I59" s="75" t="s">
        <v>656</v>
      </c>
      <c r="J59" s="75"/>
      <c r="K59" s="75"/>
      <c r="L59" s="75"/>
      <c r="M59" s="220"/>
      <c r="N59" s="226"/>
      <c r="O59" s="227"/>
      <c r="P59" s="227"/>
      <c r="Q59" s="228">
        <v>12695</v>
      </c>
      <c r="R59" s="227"/>
      <c r="S59" s="228">
        <v>12695</v>
      </c>
      <c r="T59" s="228"/>
      <c r="U59" s="228"/>
      <c r="V59" s="227"/>
      <c r="W59" s="227"/>
      <c r="X59" s="6"/>
    </row>
    <row r="60" spans="1:24" ht="15.75" customHeight="1">
      <c r="A60" s="219"/>
      <c r="B60" s="75"/>
      <c r="C60" s="75"/>
      <c r="D60" s="75" t="s">
        <v>657</v>
      </c>
      <c r="E60" s="75"/>
      <c r="F60" s="75"/>
      <c r="G60" s="75"/>
      <c r="H60" s="75"/>
      <c r="I60" s="75" t="s">
        <v>658</v>
      </c>
      <c r="J60" s="75"/>
      <c r="K60" s="75"/>
      <c r="L60" s="75"/>
      <c r="M60" s="220"/>
      <c r="N60" s="226"/>
      <c r="O60" s="227"/>
      <c r="P60" s="227"/>
      <c r="Q60" s="228">
        <v>5240</v>
      </c>
      <c r="R60" s="227"/>
      <c r="S60" s="228">
        <v>5240</v>
      </c>
      <c r="T60" s="228"/>
      <c r="U60" s="228"/>
      <c r="V60" s="227"/>
      <c r="W60" s="227"/>
      <c r="X60" s="6"/>
    </row>
    <row r="61" spans="1:24" ht="15.75" customHeight="1">
      <c r="A61" s="221"/>
      <c r="B61" s="76"/>
      <c r="C61" s="76"/>
      <c r="D61" s="76" t="s">
        <v>659</v>
      </c>
      <c r="E61" s="76"/>
      <c r="F61" s="76"/>
      <c r="G61" s="76"/>
      <c r="H61" s="76"/>
      <c r="I61" s="76" t="s">
        <v>660</v>
      </c>
      <c r="J61" s="76"/>
      <c r="K61" s="76"/>
      <c r="L61" s="76"/>
      <c r="M61" s="222"/>
      <c r="N61" s="229"/>
      <c r="O61" s="230"/>
      <c r="P61" s="230"/>
      <c r="Q61" s="231">
        <v>69889</v>
      </c>
      <c r="R61" s="230"/>
      <c r="S61" s="231">
        <v>69889</v>
      </c>
      <c r="T61" s="231"/>
      <c r="U61" s="231"/>
      <c r="V61" s="230"/>
      <c r="W61" s="230"/>
      <c r="X61" s="6"/>
    </row>
    <row r="62" spans="1:24" ht="15.75" customHeight="1">
      <c r="A62" s="217"/>
      <c r="B62" s="74" t="s">
        <v>661</v>
      </c>
      <c r="C62" s="74"/>
      <c r="D62" s="74"/>
      <c r="E62" s="74"/>
      <c r="F62" s="74" t="s">
        <v>662</v>
      </c>
      <c r="G62" s="74"/>
      <c r="H62" s="74"/>
      <c r="I62" s="74"/>
      <c r="J62" s="74"/>
      <c r="K62" s="74"/>
      <c r="L62" s="74"/>
      <c r="M62" s="218"/>
      <c r="N62" s="223"/>
      <c r="O62" s="224">
        <v>17000</v>
      </c>
      <c r="P62" s="225"/>
      <c r="Q62" s="225"/>
      <c r="R62" s="225"/>
      <c r="S62" s="224">
        <v>-17000</v>
      </c>
      <c r="T62" s="224"/>
      <c r="U62" s="224"/>
      <c r="V62" s="225"/>
      <c r="W62" s="224" t="s">
        <v>663</v>
      </c>
      <c r="X62" s="6"/>
    </row>
    <row r="63" spans="1:24" ht="15.75" customHeight="1">
      <c r="A63" s="219"/>
      <c r="B63" s="75" t="s">
        <v>664</v>
      </c>
      <c r="C63" s="75"/>
      <c r="D63" s="75"/>
      <c r="E63" s="75"/>
      <c r="F63" s="75" t="s">
        <v>665</v>
      </c>
      <c r="G63" s="75"/>
      <c r="H63" s="75"/>
      <c r="I63" s="75"/>
      <c r="J63" s="75"/>
      <c r="K63" s="75"/>
      <c r="L63" s="75"/>
      <c r="M63" s="220"/>
      <c r="N63" s="226"/>
      <c r="O63" s="228">
        <v>200000</v>
      </c>
      <c r="P63" s="227"/>
      <c r="Q63" s="228"/>
      <c r="R63" s="227"/>
      <c r="S63" s="228">
        <v>-200000</v>
      </c>
      <c r="T63" s="228"/>
      <c r="U63" s="228"/>
      <c r="V63" s="227"/>
      <c r="W63" s="228" t="s">
        <v>663</v>
      </c>
      <c r="X63" s="6"/>
    </row>
    <row r="64" spans="1:24" ht="15.75" customHeight="1">
      <c r="A64" s="219"/>
      <c r="B64" s="75"/>
      <c r="C64" s="75" t="s">
        <v>666</v>
      </c>
      <c r="D64" s="75"/>
      <c r="E64" s="75"/>
      <c r="F64" s="75"/>
      <c r="G64" s="75" t="s">
        <v>667</v>
      </c>
      <c r="H64" s="75"/>
      <c r="I64" s="75"/>
      <c r="J64" s="75"/>
      <c r="K64" s="75"/>
      <c r="L64" s="75"/>
      <c r="M64" s="220"/>
      <c r="N64" s="226"/>
      <c r="O64" s="228">
        <v>200000</v>
      </c>
      <c r="P64" s="227"/>
      <c r="Q64" s="228"/>
      <c r="R64" s="227"/>
      <c r="S64" s="228">
        <v>-200000</v>
      </c>
      <c r="T64" s="228"/>
      <c r="U64" s="228"/>
      <c r="V64" s="227"/>
      <c r="W64" s="228" t="s">
        <v>663</v>
      </c>
      <c r="X64" s="6"/>
    </row>
    <row r="65" spans="1:24" ht="15.75" customHeight="1">
      <c r="A65" s="219"/>
      <c r="B65" s="75"/>
      <c r="C65" s="75"/>
      <c r="D65" s="75" t="s">
        <v>668</v>
      </c>
      <c r="E65" s="75"/>
      <c r="F65" s="75"/>
      <c r="G65" s="75"/>
      <c r="H65" s="75"/>
      <c r="I65" s="75" t="s">
        <v>669</v>
      </c>
      <c r="J65" s="75"/>
      <c r="K65" s="75"/>
      <c r="L65" s="75"/>
      <c r="M65" s="220"/>
      <c r="N65" s="226"/>
      <c r="O65" s="228">
        <v>100000</v>
      </c>
      <c r="P65" s="227"/>
      <c r="Q65" s="228"/>
      <c r="R65" s="227"/>
      <c r="S65" s="228">
        <v>-100000</v>
      </c>
      <c r="T65" s="228"/>
      <c r="U65" s="228"/>
      <c r="V65" s="227"/>
      <c r="W65" s="228" t="s">
        <v>663</v>
      </c>
      <c r="X65" s="6"/>
    </row>
    <row r="66" spans="1:24" ht="15.75" customHeight="1">
      <c r="A66" s="219"/>
      <c r="B66" s="75"/>
      <c r="C66" s="75"/>
      <c r="D66" s="75" t="s">
        <v>670</v>
      </c>
      <c r="E66" s="75"/>
      <c r="F66" s="75"/>
      <c r="G66" s="75"/>
      <c r="H66" s="75"/>
      <c r="I66" s="75" t="s">
        <v>671</v>
      </c>
      <c r="J66" s="75"/>
      <c r="K66" s="75"/>
      <c r="L66" s="75"/>
      <c r="M66" s="220"/>
      <c r="N66" s="226"/>
      <c r="O66" s="228">
        <v>100000</v>
      </c>
      <c r="P66" s="227"/>
      <c r="Q66" s="228"/>
      <c r="R66" s="227"/>
      <c r="S66" s="228">
        <v>-100000</v>
      </c>
      <c r="T66" s="228"/>
      <c r="U66" s="228"/>
      <c r="V66" s="227"/>
      <c r="W66" s="228" t="s">
        <v>663</v>
      </c>
      <c r="X66" s="6"/>
    </row>
    <row r="67" spans="1:24" ht="15.75" customHeight="1">
      <c r="A67" s="219"/>
      <c r="B67" s="75" t="s">
        <v>672</v>
      </c>
      <c r="C67" s="75"/>
      <c r="D67" s="75"/>
      <c r="E67" s="75"/>
      <c r="F67" s="75" t="s">
        <v>673</v>
      </c>
      <c r="G67" s="75"/>
      <c r="H67" s="75"/>
      <c r="I67" s="75"/>
      <c r="J67" s="75"/>
      <c r="K67" s="75"/>
      <c r="L67" s="75"/>
      <c r="M67" s="220"/>
      <c r="N67" s="226"/>
      <c r="O67" s="228">
        <v>92000</v>
      </c>
      <c r="P67" s="227"/>
      <c r="Q67" s="228">
        <v>33900</v>
      </c>
      <c r="R67" s="227"/>
      <c r="S67" s="228">
        <v>-58100</v>
      </c>
      <c r="T67" s="228"/>
      <c r="U67" s="228"/>
      <c r="V67" s="227"/>
      <c r="W67" s="228" t="s">
        <v>674</v>
      </c>
      <c r="X67" s="6"/>
    </row>
    <row r="68" spans="1:24" ht="15.75" customHeight="1">
      <c r="A68" s="219"/>
      <c r="B68" s="75"/>
      <c r="C68" s="75" t="s">
        <v>675</v>
      </c>
      <c r="D68" s="75"/>
      <c r="E68" s="75"/>
      <c r="F68" s="75"/>
      <c r="G68" s="75" t="s">
        <v>676</v>
      </c>
      <c r="H68" s="75"/>
      <c r="I68" s="75"/>
      <c r="J68" s="75"/>
      <c r="K68" s="75"/>
      <c r="L68" s="75"/>
      <c r="M68" s="220"/>
      <c r="N68" s="226"/>
      <c r="O68" s="227"/>
      <c r="P68" s="227"/>
      <c r="Q68" s="228">
        <v>2000</v>
      </c>
      <c r="R68" s="227"/>
      <c r="S68" s="228">
        <v>2000</v>
      </c>
      <c r="T68" s="228"/>
      <c r="U68" s="228"/>
      <c r="V68" s="227"/>
      <c r="W68" s="227"/>
      <c r="X68" s="6"/>
    </row>
    <row r="69" spans="1:24" ht="15.75" customHeight="1">
      <c r="A69" s="219"/>
      <c r="B69" s="75"/>
      <c r="C69" s="75"/>
      <c r="D69" s="75" t="s">
        <v>677</v>
      </c>
      <c r="E69" s="75"/>
      <c r="F69" s="75"/>
      <c r="G69" s="75"/>
      <c r="H69" s="75"/>
      <c r="I69" s="75" t="s">
        <v>678</v>
      </c>
      <c r="J69" s="75"/>
      <c r="K69" s="75"/>
      <c r="L69" s="75"/>
      <c r="M69" s="220"/>
      <c r="N69" s="226"/>
      <c r="O69" s="227"/>
      <c r="P69" s="227"/>
      <c r="Q69" s="228">
        <v>2000</v>
      </c>
      <c r="R69" s="227"/>
      <c r="S69" s="228">
        <v>2000</v>
      </c>
      <c r="T69" s="228"/>
      <c r="U69" s="228"/>
      <c r="V69" s="227"/>
      <c r="W69" s="227"/>
      <c r="X69" s="6"/>
    </row>
    <row r="70" spans="1:24" ht="15.75" customHeight="1">
      <c r="A70" s="219"/>
      <c r="B70" s="75"/>
      <c r="C70" s="75" t="s">
        <v>679</v>
      </c>
      <c r="D70" s="75"/>
      <c r="E70" s="75"/>
      <c r="F70" s="75"/>
      <c r="G70" s="75" t="s">
        <v>680</v>
      </c>
      <c r="H70" s="75"/>
      <c r="I70" s="75"/>
      <c r="J70" s="75"/>
      <c r="K70" s="75"/>
      <c r="L70" s="75"/>
      <c r="M70" s="220"/>
      <c r="N70" s="226"/>
      <c r="O70" s="227"/>
      <c r="P70" s="227"/>
      <c r="Q70" s="228">
        <v>20000</v>
      </c>
      <c r="R70" s="227"/>
      <c r="S70" s="228">
        <v>20000</v>
      </c>
      <c r="T70" s="228"/>
      <c r="U70" s="228"/>
      <c r="V70" s="227"/>
      <c r="W70" s="227"/>
      <c r="X70" s="6"/>
    </row>
    <row r="71" spans="1:24" ht="15.75" customHeight="1">
      <c r="A71" s="219"/>
      <c r="B71" s="75"/>
      <c r="C71" s="75"/>
      <c r="D71" s="75" t="s">
        <v>681</v>
      </c>
      <c r="E71" s="75"/>
      <c r="F71" s="75"/>
      <c r="G71" s="75"/>
      <c r="H71" s="75"/>
      <c r="I71" s="75" t="s">
        <v>682</v>
      </c>
      <c r="J71" s="75"/>
      <c r="K71" s="75"/>
      <c r="L71" s="75"/>
      <c r="M71" s="220"/>
      <c r="N71" s="226"/>
      <c r="O71" s="227"/>
      <c r="P71" s="227"/>
      <c r="Q71" s="228">
        <v>20000</v>
      </c>
      <c r="R71" s="227"/>
      <c r="S71" s="228">
        <v>20000</v>
      </c>
      <c r="T71" s="228"/>
      <c r="U71" s="228"/>
      <c r="V71" s="227"/>
      <c r="W71" s="227"/>
      <c r="X71" s="6"/>
    </row>
    <row r="72" spans="1:24" ht="15.75" customHeight="1">
      <c r="A72" s="219"/>
      <c r="B72" s="75"/>
      <c r="C72" s="75" t="s">
        <v>683</v>
      </c>
      <c r="D72" s="75"/>
      <c r="E72" s="75"/>
      <c r="F72" s="75"/>
      <c r="G72" s="75" t="s">
        <v>684</v>
      </c>
      <c r="H72" s="75"/>
      <c r="I72" s="75"/>
      <c r="J72" s="75"/>
      <c r="K72" s="75"/>
      <c r="L72" s="75"/>
      <c r="M72" s="220"/>
      <c r="N72" s="226"/>
      <c r="O72" s="227"/>
      <c r="P72" s="227"/>
      <c r="Q72" s="228">
        <v>11900</v>
      </c>
      <c r="R72" s="227"/>
      <c r="S72" s="228">
        <v>11900</v>
      </c>
      <c r="T72" s="228"/>
      <c r="U72" s="228"/>
      <c r="V72" s="227"/>
      <c r="W72" s="227"/>
      <c r="X72" s="6"/>
    </row>
    <row r="73" spans="1:24" ht="15.75" customHeight="1">
      <c r="A73" s="219"/>
      <c r="B73" s="75"/>
      <c r="C73" s="75"/>
      <c r="D73" s="75" t="s">
        <v>685</v>
      </c>
      <c r="E73" s="75"/>
      <c r="F73" s="75"/>
      <c r="G73" s="75"/>
      <c r="H73" s="75"/>
      <c r="I73" s="75" t="s">
        <v>686</v>
      </c>
      <c r="J73" s="75"/>
      <c r="K73" s="75"/>
      <c r="L73" s="75"/>
      <c r="M73" s="220"/>
      <c r="N73" s="226"/>
      <c r="O73" s="227"/>
      <c r="P73" s="227"/>
      <c r="Q73" s="228">
        <v>11900</v>
      </c>
      <c r="R73" s="227"/>
      <c r="S73" s="228">
        <v>11900</v>
      </c>
      <c r="T73" s="228"/>
      <c r="U73" s="228"/>
      <c r="V73" s="227"/>
      <c r="W73" s="227"/>
      <c r="X73" s="6"/>
    </row>
    <row r="74" spans="1:24" ht="15.75" customHeight="1">
      <c r="A74" s="219"/>
      <c r="B74" s="75" t="s">
        <v>687</v>
      </c>
      <c r="C74" s="75"/>
      <c r="D74" s="75"/>
      <c r="E74" s="75"/>
      <c r="F74" s="75" t="s">
        <v>199</v>
      </c>
      <c r="G74" s="75"/>
      <c r="H74" s="75"/>
      <c r="I74" s="75"/>
      <c r="J74" s="75"/>
      <c r="K74" s="75"/>
      <c r="L74" s="75"/>
      <c r="M74" s="220"/>
      <c r="N74" s="226"/>
      <c r="O74" s="227">
        <v>148000</v>
      </c>
      <c r="P74" s="227"/>
      <c r="Q74" s="228">
        <v>36925</v>
      </c>
      <c r="R74" s="227"/>
      <c r="S74" s="228">
        <v>-111075</v>
      </c>
      <c r="T74" s="228"/>
      <c r="U74" s="228"/>
      <c r="V74" s="227"/>
      <c r="W74" s="227" t="s">
        <v>688</v>
      </c>
      <c r="X74" s="6"/>
    </row>
    <row r="75" spans="1:24" ht="15.75" customHeight="1">
      <c r="A75" s="219"/>
      <c r="B75" s="75"/>
      <c r="C75" s="75" t="s">
        <v>689</v>
      </c>
      <c r="D75" s="75"/>
      <c r="E75" s="75"/>
      <c r="F75" s="75"/>
      <c r="G75" s="75" t="s">
        <v>690</v>
      </c>
      <c r="H75" s="75"/>
      <c r="I75" s="75"/>
      <c r="J75" s="75"/>
      <c r="K75" s="75"/>
      <c r="L75" s="75"/>
      <c r="M75" s="220"/>
      <c r="N75" s="226"/>
      <c r="O75" s="227"/>
      <c r="P75" s="227"/>
      <c r="Q75" s="228">
        <v>36925</v>
      </c>
      <c r="R75" s="227"/>
      <c r="S75" s="228">
        <v>36925</v>
      </c>
      <c r="T75" s="228"/>
      <c r="U75" s="228"/>
      <c r="V75" s="227"/>
      <c r="W75" s="227"/>
      <c r="X75" s="6"/>
    </row>
    <row r="76" spans="1:24" ht="15.75" customHeight="1">
      <c r="A76" s="219"/>
      <c r="B76" s="75"/>
      <c r="C76" s="75"/>
      <c r="D76" s="75" t="s">
        <v>691</v>
      </c>
      <c r="E76" s="75"/>
      <c r="F76" s="75"/>
      <c r="G76" s="75"/>
      <c r="H76" s="75"/>
      <c r="I76" s="75" t="s">
        <v>199</v>
      </c>
      <c r="J76" s="75"/>
      <c r="K76" s="75"/>
      <c r="L76" s="75"/>
      <c r="M76" s="220"/>
      <c r="N76" s="226"/>
      <c r="O76" s="227"/>
      <c r="P76" s="227"/>
      <c r="Q76" s="228">
        <v>36925</v>
      </c>
      <c r="R76" s="227"/>
      <c r="S76" s="228">
        <v>36925</v>
      </c>
      <c r="T76" s="228"/>
      <c r="U76" s="228"/>
      <c r="V76" s="227"/>
      <c r="W76" s="227"/>
      <c r="X76" s="6"/>
    </row>
    <row r="77" spans="1:24" ht="15.75" customHeight="1">
      <c r="A77" s="219"/>
      <c r="B77" s="75"/>
      <c r="C77" s="75"/>
      <c r="D77" s="75" t="s">
        <v>692</v>
      </c>
      <c r="E77" s="75"/>
      <c r="F77" s="75"/>
      <c r="G77" s="75"/>
      <c r="H77" s="75"/>
      <c r="I77" s="75"/>
      <c r="J77" s="75"/>
      <c r="K77" s="75"/>
      <c r="L77" s="75"/>
      <c r="M77" s="220"/>
      <c r="N77" s="226"/>
      <c r="O77" s="227">
        <v>137371000</v>
      </c>
      <c r="P77" s="227"/>
      <c r="Q77" s="228">
        <v>66912321</v>
      </c>
      <c r="R77" s="227"/>
      <c r="S77" s="228">
        <v>-70458679</v>
      </c>
      <c r="T77" s="228"/>
      <c r="U77" s="228"/>
      <c r="V77" s="227"/>
      <c r="W77" s="227" t="s">
        <v>693</v>
      </c>
      <c r="X77" s="6"/>
    </row>
    <row r="78" spans="1:24" ht="15.75" customHeight="1">
      <c r="A78" s="219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220"/>
      <c r="N78" s="226"/>
      <c r="O78" s="227"/>
      <c r="P78" s="227"/>
      <c r="Q78" s="228"/>
      <c r="R78" s="227"/>
      <c r="S78" s="228"/>
      <c r="T78" s="228"/>
      <c r="U78" s="228"/>
      <c r="V78" s="227"/>
      <c r="W78" s="227"/>
      <c r="X78" s="6"/>
    </row>
    <row r="79" spans="1:24" ht="15.75" customHeight="1">
      <c r="A79" s="219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220"/>
      <c r="N79" s="226"/>
      <c r="O79" s="227"/>
      <c r="P79" s="227"/>
      <c r="Q79" s="228"/>
      <c r="R79" s="227"/>
      <c r="S79" s="228"/>
      <c r="T79" s="228"/>
      <c r="U79" s="228"/>
      <c r="V79" s="227"/>
      <c r="W79" s="227"/>
      <c r="X79" s="6"/>
    </row>
    <row r="80" spans="1:24" ht="15.75" customHeight="1">
      <c r="A80" s="219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220"/>
      <c r="N80" s="226"/>
      <c r="O80" s="227"/>
      <c r="P80" s="227"/>
      <c r="Q80" s="228"/>
      <c r="R80" s="227"/>
      <c r="S80" s="228"/>
      <c r="T80" s="228"/>
      <c r="U80" s="228"/>
      <c r="V80" s="227"/>
      <c r="W80" s="227"/>
      <c r="X80" s="6"/>
    </row>
    <row r="81" spans="1:24" ht="15.75" customHeight="1">
      <c r="A81" s="219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220"/>
      <c r="N81" s="226"/>
      <c r="O81" s="227"/>
      <c r="P81" s="227"/>
      <c r="Q81" s="228"/>
      <c r="R81" s="227"/>
      <c r="S81" s="228"/>
      <c r="T81" s="228"/>
      <c r="U81" s="228"/>
      <c r="V81" s="227"/>
      <c r="W81" s="227"/>
      <c r="X81" s="6"/>
    </row>
    <row r="82" spans="1:24" ht="15.75" customHeight="1">
      <c r="A82" s="219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0"/>
      <c r="N82" s="226"/>
      <c r="O82" s="227"/>
      <c r="P82" s="227"/>
      <c r="Q82" s="228"/>
      <c r="R82" s="227"/>
      <c r="S82" s="228"/>
      <c r="T82" s="228"/>
      <c r="U82" s="228"/>
      <c r="V82" s="227"/>
      <c r="W82" s="227"/>
      <c r="X82" s="6"/>
    </row>
    <row r="83" spans="1:24" ht="15.75" customHeight="1">
      <c r="A83" s="219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0"/>
      <c r="N83" s="226"/>
      <c r="O83" s="228"/>
      <c r="P83" s="227"/>
      <c r="Q83" s="228"/>
      <c r="R83" s="227"/>
      <c r="S83" s="228"/>
      <c r="T83" s="228"/>
      <c r="U83" s="228"/>
      <c r="V83" s="227"/>
      <c r="W83" s="228"/>
      <c r="X83" s="6"/>
    </row>
    <row r="84" spans="1:24" ht="15.75" customHeight="1">
      <c r="A84" s="219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0"/>
      <c r="N84" s="226"/>
      <c r="O84" s="227"/>
      <c r="P84" s="227"/>
      <c r="Q84" s="228"/>
      <c r="R84" s="227"/>
      <c r="S84" s="228"/>
      <c r="T84" s="228"/>
      <c r="U84" s="228"/>
      <c r="V84" s="227"/>
      <c r="W84" s="227"/>
      <c r="X84" s="6"/>
    </row>
    <row r="85" spans="1:24" ht="15.75" customHeight="1">
      <c r="A85" s="219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0"/>
      <c r="N85" s="226"/>
      <c r="O85" s="227"/>
      <c r="P85" s="227"/>
      <c r="Q85" s="228"/>
      <c r="R85" s="227"/>
      <c r="S85" s="228"/>
      <c r="T85" s="228"/>
      <c r="U85" s="228"/>
      <c r="V85" s="227"/>
      <c r="W85" s="227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2"/>
      <c r="N86" s="229"/>
      <c r="O86" s="231"/>
      <c r="P86" s="230"/>
      <c r="Q86" s="231"/>
      <c r="R86" s="230"/>
      <c r="S86" s="231"/>
      <c r="T86" s="231"/>
      <c r="U86" s="231"/>
      <c r="V86" s="230"/>
      <c r="W86" s="231"/>
      <c r="X86" s="6"/>
    </row>
    <row r="87" spans="1:24" ht="26.25" customHeight="1">
      <c r="B87" s="204"/>
      <c r="C87" s="204"/>
      <c r="D87" s="204"/>
      <c r="E87" s="204"/>
      <c r="F87" s="204"/>
      <c r="G87" s="204"/>
      <c r="H87" s="204"/>
      <c r="I87" s="204"/>
      <c r="J87" s="204"/>
      <c r="K87" s="204"/>
      <c r="L87" s="204"/>
      <c r="M87" s="204"/>
      <c r="N87" s="204"/>
      <c r="O87" s="204"/>
      <c r="P87" s="204"/>
      <c r="Q87" s="204"/>
      <c r="R87" s="204"/>
      <c r="S87" s="204"/>
      <c r="T87" s="204"/>
      <c r="U87" s="204"/>
      <c r="V87" s="204"/>
      <c r="W87" s="204"/>
    </row>
    <row r="88" spans="1:24" ht="30" customHeight="1">
      <c r="B88" s="204"/>
      <c r="C88" s="204"/>
      <c r="D88" s="204"/>
      <c r="E88" s="204"/>
      <c r="F88" s="204"/>
      <c r="G88" s="204"/>
      <c r="H88" s="204"/>
      <c r="I88" s="204"/>
      <c r="J88" s="204"/>
      <c r="K88" s="204"/>
      <c r="L88" s="204"/>
      <c r="M88" s="204"/>
      <c r="N88" s="204"/>
      <c r="O88" s="204"/>
      <c r="P88" s="204"/>
      <c r="Q88" s="204"/>
      <c r="R88" s="204"/>
      <c r="S88" s="204"/>
      <c r="T88" s="204"/>
      <c r="U88" s="204"/>
      <c r="V88" s="204"/>
      <c r="W88" s="204"/>
    </row>
    <row r="89" spans="1:24" ht="12.75" customHeight="1">
      <c r="B89" s="204"/>
      <c r="C89" s="204"/>
      <c r="D89" s="204"/>
      <c r="E89" s="204"/>
      <c r="F89" s="204"/>
      <c r="G89" s="204"/>
      <c r="H89" s="204"/>
      <c r="I89" s="204"/>
      <c r="J89" s="204"/>
      <c r="K89" s="204"/>
      <c r="L89" s="204"/>
      <c r="M89" s="204"/>
      <c r="N89" s="204"/>
      <c r="O89" s="204"/>
      <c r="P89" s="204"/>
      <c r="Q89" s="204"/>
      <c r="R89" s="204"/>
      <c r="S89" s="204"/>
      <c r="T89" s="204"/>
      <c r="U89" s="204"/>
      <c r="V89" s="204"/>
      <c r="W89" s="204"/>
    </row>
    <row r="90" spans="1:24" ht="12.75" customHeight="1">
      <c r="B90" s="204"/>
      <c r="C90" s="204"/>
      <c r="D90" s="204"/>
      <c r="E90" s="204"/>
      <c r="F90" s="204"/>
      <c r="G90" s="204"/>
      <c r="H90" s="204"/>
      <c r="I90" s="204"/>
      <c r="J90" s="204"/>
      <c r="K90" s="204"/>
      <c r="L90" s="204"/>
      <c r="M90" s="204"/>
      <c r="N90" s="204"/>
      <c r="O90" s="204"/>
      <c r="P90" s="204"/>
      <c r="Q90" s="204"/>
      <c r="R90" s="204"/>
      <c r="S90" s="204"/>
      <c r="T90" s="204"/>
      <c r="U90" s="204"/>
      <c r="V90" s="204"/>
      <c r="W90" s="204"/>
    </row>
    <row r="91" spans="1:24" ht="12.75" customHeight="1">
      <c r="B91" s="204"/>
      <c r="C91" s="204"/>
      <c r="D91" s="204"/>
      <c r="E91" s="204"/>
      <c r="F91" s="204"/>
      <c r="G91" s="204"/>
      <c r="H91" s="204"/>
      <c r="I91" s="204"/>
      <c r="J91" s="204"/>
      <c r="K91" s="204"/>
      <c r="L91" s="204"/>
      <c r="M91" s="204"/>
      <c r="N91" s="204"/>
      <c r="O91" s="204"/>
      <c r="P91" s="204"/>
      <c r="Q91" s="204"/>
      <c r="R91" s="204"/>
      <c r="S91" s="204"/>
      <c r="T91" s="204"/>
      <c r="U91" s="204"/>
      <c r="V91" s="204"/>
      <c r="W91" s="204"/>
    </row>
    <row r="92" spans="1:24" ht="12.75" customHeight="1">
      <c r="B92" s="204"/>
      <c r="C92" s="204"/>
      <c r="D92" s="204"/>
      <c r="E92" s="204"/>
      <c r="F92" s="204"/>
      <c r="G92" s="204"/>
      <c r="H92" s="204"/>
      <c r="I92" s="204"/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</row>
    <row r="93" spans="1:24" ht="12.75" customHeight="1">
      <c r="B93" s="204"/>
      <c r="C93" s="204"/>
      <c r="D93" s="204"/>
      <c r="E93" s="204"/>
      <c r="F93" s="204"/>
      <c r="G93" s="204"/>
      <c r="H93" s="204"/>
      <c r="I93" s="204"/>
      <c r="J93" s="204"/>
      <c r="K93" s="204"/>
      <c r="L93" s="204"/>
      <c r="M93" s="204"/>
      <c r="N93" s="204"/>
      <c r="O93" s="204"/>
      <c r="P93" s="204"/>
      <c r="Q93" s="204"/>
      <c r="R93" s="204"/>
      <c r="S93" s="204"/>
      <c r="T93" s="204"/>
      <c r="U93" s="204"/>
      <c r="V93" s="204"/>
      <c r="W93" s="204"/>
    </row>
    <row r="94" spans="1:24" ht="12.75" customHeight="1">
      <c r="B94" s="204"/>
      <c r="C94" s="204"/>
      <c r="D94" s="204"/>
      <c r="E94" s="204"/>
      <c r="F94" s="204"/>
      <c r="G94" s="204"/>
      <c r="H94" s="204"/>
      <c r="I94" s="204"/>
      <c r="J94" s="204"/>
      <c r="K94" s="204"/>
      <c r="L94" s="204"/>
      <c r="M94" s="204"/>
      <c r="N94" s="204"/>
      <c r="O94" s="204"/>
      <c r="P94" s="204"/>
      <c r="Q94" s="204"/>
      <c r="R94" s="204"/>
      <c r="S94" s="204"/>
      <c r="T94" s="204"/>
      <c r="U94" s="204"/>
      <c r="V94" s="204"/>
      <c r="W94" s="204"/>
    </row>
    <row r="95" spans="1:24" ht="12.75" customHeight="1">
      <c r="B95" s="204"/>
      <c r="C95" s="204"/>
      <c r="D95" s="204"/>
      <c r="E95" s="204"/>
      <c r="F95" s="204"/>
      <c r="G95" s="204"/>
      <c r="H95" s="204"/>
      <c r="I95" s="204"/>
      <c r="J95" s="204"/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</row>
    <row r="96" spans="1:24" ht="12.75" customHeight="1">
      <c r="B96" s="204"/>
      <c r="C96" s="204"/>
      <c r="D96" s="204"/>
      <c r="E96" s="204"/>
      <c r="F96" s="204"/>
      <c r="G96" s="204"/>
      <c r="H96" s="204"/>
      <c r="I96" s="204"/>
      <c r="J96" s="204"/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</row>
    <row r="97" spans="2:23" ht="12.75" customHeight="1">
      <c r="B97" s="204"/>
      <c r="C97" s="204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</row>
    <row r="98" spans="2:23" ht="12.75" customHeight="1">
      <c r="B98" s="204"/>
      <c r="C98" s="204"/>
      <c r="D98" s="204"/>
      <c r="E98" s="204"/>
      <c r="F98" s="204"/>
      <c r="G98" s="204"/>
      <c r="H98" s="204"/>
      <c r="I98" s="204"/>
      <c r="J98" s="204"/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</row>
    <row r="99" spans="2:23" ht="12.75" customHeight="1">
      <c r="B99" s="204"/>
      <c r="C99" s="204"/>
      <c r="D99" s="204"/>
      <c r="E99" s="204"/>
      <c r="F99" s="204"/>
      <c r="G99" s="204"/>
      <c r="H99" s="204"/>
      <c r="I99" s="204"/>
      <c r="J99" s="204"/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</row>
    <row r="100" spans="2:23" ht="12.75" customHeight="1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  <c r="L100" s="204"/>
      <c r="M100" s="204"/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</row>
    <row r="101" spans="2:23" ht="12.75" customHeight="1">
      <c r="B101" s="204"/>
      <c r="C101" s="204"/>
      <c r="D101" s="204"/>
      <c r="E101" s="204"/>
      <c r="F101" s="204"/>
      <c r="G101" s="204"/>
      <c r="H101" s="204"/>
      <c r="I101" s="204"/>
      <c r="J101" s="204"/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</row>
    <row r="102" spans="2:23" ht="12.75" customHeight="1">
      <c r="B102" s="204"/>
      <c r="C102" s="204"/>
      <c r="D102" s="204"/>
      <c r="E102" s="204"/>
      <c r="F102" s="204"/>
      <c r="G102" s="204"/>
      <c r="H102" s="204"/>
      <c r="I102" s="204"/>
      <c r="J102" s="204"/>
      <c r="K102" s="204"/>
      <c r="L102" s="204"/>
      <c r="M102" s="204"/>
      <c r="N102" s="204"/>
      <c r="O102" s="204"/>
      <c r="P102" s="204"/>
      <c r="Q102" s="204"/>
      <c r="R102" s="204"/>
      <c r="S102" s="204"/>
      <c r="T102" s="204"/>
      <c r="U102" s="204"/>
      <c r="V102" s="204"/>
      <c r="W102" s="204"/>
    </row>
    <row r="103" spans="2:23" ht="12.75" customHeight="1">
      <c r="B103" s="204"/>
      <c r="C103" s="204"/>
      <c r="D103" s="204"/>
      <c r="E103" s="204"/>
      <c r="F103" s="204"/>
      <c r="G103" s="204"/>
      <c r="H103" s="204"/>
      <c r="I103" s="204"/>
      <c r="J103" s="204"/>
      <c r="K103" s="204"/>
      <c r="L103" s="204"/>
      <c r="M103" s="204"/>
      <c r="N103" s="204"/>
      <c r="O103" s="204"/>
      <c r="P103" s="204"/>
      <c r="Q103" s="204"/>
      <c r="R103" s="204"/>
      <c r="S103" s="204"/>
      <c r="T103" s="204"/>
      <c r="U103" s="204"/>
      <c r="V103" s="204"/>
      <c r="W103" s="204"/>
    </row>
    <row r="104" spans="2:23" ht="12.75" customHeight="1">
      <c r="B104" s="204"/>
      <c r="C104" s="204"/>
      <c r="D104" s="204"/>
      <c r="E104" s="204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</row>
    <row r="105" spans="2:23" ht="12.75" customHeight="1">
      <c r="B105" s="204"/>
      <c r="C105" s="204"/>
      <c r="D105" s="204"/>
      <c r="E105" s="204"/>
      <c r="F105" s="204"/>
      <c r="G105" s="204"/>
      <c r="H105" s="204"/>
      <c r="I105" s="204"/>
      <c r="J105" s="204"/>
      <c r="K105" s="204"/>
      <c r="L105" s="204"/>
      <c r="M105" s="204"/>
      <c r="N105" s="204"/>
      <c r="O105" s="204"/>
      <c r="P105" s="204"/>
      <c r="Q105" s="204"/>
      <c r="R105" s="204"/>
      <c r="S105" s="204"/>
      <c r="T105" s="204"/>
      <c r="U105" s="204"/>
      <c r="V105" s="204"/>
      <c r="W105" s="204"/>
    </row>
    <row r="106" spans="2:23" ht="12.75" customHeight="1">
      <c r="B106" s="204"/>
      <c r="C106" s="204"/>
      <c r="D106" s="204"/>
      <c r="E106" s="204"/>
      <c r="F106" s="204"/>
      <c r="G106" s="204"/>
      <c r="H106" s="204"/>
      <c r="I106" s="204"/>
      <c r="J106" s="204"/>
      <c r="K106" s="204"/>
      <c r="L106" s="204"/>
      <c r="M106" s="204"/>
      <c r="N106" s="204"/>
      <c r="O106" s="204"/>
      <c r="P106" s="204"/>
      <c r="Q106" s="204"/>
      <c r="R106" s="204"/>
      <c r="S106" s="204"/>
      <c r="T106" s="204"/>
      <c r="U106" s="204"/>
      <c r="V106" s="204"/>
      <c r="W106" s="204"/>
    </row>
    <row r="107" spans="2:23" ht="12.75" customHeight="1">
      <c r="B107" s="204"/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  <c r="O107" s="204"/>
      <c r="P107" s="204"/>
      <c r="Q107" s="204"/>
      <c r="R107" s="204"/>
      <c r="S107" s="204"/>
      <c r="T107" s="204"/>
      <c r="U107" s="204"/>
      <c r="V107" s="204"/>
      <c r="W107" s="204"/>
    </row>
    <row r="108" spans="2:23" ht="12.75" customHeight="1">
      <c r="B108" s="204"/>
      <c r="C108" s="204"/>
      <c r="D108" s="204"/>
      <c r="E108" s="204"/>
      <c r="F108" s="204"/>
      <c r="G108" s="204"/>
      <c r="H108" s="204"/>
      <c r="I108" s="204"/>
      <c r="J108" s="204"/>
      <c r="K108" s="204"/>
      <c r="L108" s="204"/>
      <c r="M108" s="204"/>
      <c r="N108" s="204"/>
      <c r="O108" s="204"/>
      <c r="P108" s="204"/>
      <c r="Q108" s="204"/>
      <c r="R108" s="204"/>
      <c r="S108" s="204"/>
      <c r="T108" s="204"/>
      <c r="U108" s="204"/>
      <c r="V108" s="204"/>
      <c r="W108" s="204"/>
    </row>
    <row r="109" spans="2:23" ht="12.75" customHeight="1">
      <c r="B109" s="204"/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  <c r="O109" s="204"/>
      <c r="P109" s="204"/>
      <c r="Q109" s="204"/>
      <c r="R109" s="204"/>
      <c r="S109" s="204"/>
      <c r="T109" s="204"/>
      <c r="U109" s="204"/>
      <c r="V109" s="204"/>
      <c r="W109" s="204"/>
    </row>
    <row r="110" spans="2:23" ht="12.75" customHeight="1">
      <c r="B110" s="204"/>
      <c r="C110" s="204"/>
      <c r="D110" s="204"/>
      <c r="E110" s="204"/>
      <c r="F110" s="204"/>
      <c r="G110" s="204"/>
      <c r="H110" s="204"/>
      <c r="I110" s="204"/>
      <c r="J110" s="204"/>
      <c r="K110" s="204"/>
      <c r="L110" s="204"/>
      <c r="M110" s="204"/>
      <c r="N110" s="204"/>
      <c r="O110" s="204"/>
      <c r="P110" s="204"/>
      <c r="Q110" s="204"/>
      <c r="R110" s="204"/>
      <c r="S110" s="204"/>
      <c r="T110" s="204"/>
      <c r="U110" s="204"/>
      <c r="V110" s="204"/>
      <c r="W110" s="204"/>
    </row>
    <row r="111" spans="2:23" ht="12.75" customHeight="1">
      <c r="B111" s="204"/>
      <c r="C111" s="204"/>
      <c r="D111" s="204"/>
      <c r="E111" s="204"/>
      <c r="F111" s="204"/>
      <c r="G111" s="204"/>
      <c r="H111" s="204"/>
      <c r="I111" s="204"/>
      <c r="J111" s="204"/>
      <c r="K111" s="204"/>
      <c r="L111" s="204"/>
      <c r="M111" s="204"/>
      <c r="N111" s="204"/>
      <c r="O111" s="204"/>
      <c r="P111" s="204"/>
      <c r="Q111" s="204"/>
      <c r="R111" s="204"/>
      <c r="S111" s="204"/>
      <c r="T111" s="204"/>
      <c r="U111" s="204"/>
      <c r="V111" s="204"/>
      <c r="W111" s="204"/>
    </row>
    <row r="112" spans="2:23" ht="12.75" customHeight="1">
      <c r="B112" s="204"/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204"/>
      <c r="Q112" s="204"/>
      <c r="R112" s="204"/>
      <c r="S112" s="204"/>
      <c r="T112" s="204"/>
      <c r="U112" s="204"/>
      <c r="V112" s="204"/>
      <c r="W112" s="204"/>
    </row>
    <row r="113" spans="2:23" ht="12.75" customHeight="1">
      <c r="B113" s="204"/>
      <c r="C113" s="204"/>
      <c r="D113" s="204"/>
      <c r="E113" s="204"/>
      <c r="F113" s="204"/>
      <c r="G113" s="204"/>
      <c r="H113" s="204"/>
      <c r="I113" s="204"/>
      <c r="J113" s="204"/>
      <c r="K113" s="204"/>
      <c r="L113" s="204"/>
      <c r="M113" s="204"/>
      <c r="N113" s="204"/>
      <c r="O113" s="204"/>
      <c r="P113" s="204"/>
      <c r="Q113" s="204"/>
      <c r="R113" s="204"/>
      <c r="S113" s="204"/>
      <c r="T113" s="204"/>
      <c r="U113" s="204"/>
      <c r="V113" s="204"/>
      <c r="W113" s="204"/>
    </row>
    <row r="114" spans="2:23" ht="12.75" customHeight="1">
      <c r="B114" s="204"/>
      <c r="C114" s="204"/>
      <c r="D114" s="204"/>
      <c r="E114" s="204"/>
      <c r="F114" s="204"/>
      <c r="G114" s="204"/>
      <c r="H114" s="204"/>
      <c r="I114" s="204"/>
      <c r="J114" s="204"/>
      <c r="K114" s="204"/>
      <c r="L114" s="204"/>
      <c r="M114" s="204"/>
      <c r="N114" s="204"/>
      <c r="O114" s="204"/>
      <c r="P114" s="204"/>
      <c r="Q114" s="204"/>
      <c r="R114" s="204"/>
      <c r="S114" s="204"/>
      <c r="T114" s="204"/>
      <c r="U114" s="204"/>
      <c r="V114" s="204"/>
      <c r="W114" s="204"/>
    </row>
    <row r="115" spans="2:23" ht="12.75" customHeight="1">
      <c r="B115" s="204"/>
      <c r="C115" s="204"/>
      <c r="D115" s="204"/>
      <c r="E115" s="204"/>
      <c r="F115" s="204"/>
      <c r="G115" s="204"/>
      <c r="H115" s="204"/>
      <c r="I115" s="204"/>
      <c r="J115" s="204"/>
      <c r="K115" s="204"/>
      <c r="L115" s="204"/>
      <c r="M115" s="204"/>
      <c r="N115" s="204"/>
      <c r="O115" s="204"/>
      <c r="P115" s="204"/>
      <c r="Q115" s="204"/>
      <c r="R115" s="204"/>
      <c r="S115" s="204"/>
      <c r="T115" s="204"/>
      <c r="U115" s="204"/>
      <c r="V115" s="204"/>
      <c r="W115" s="204"/>
    </row>
    <row r="116" spans="2:23" ht="12.75" customHeight="1">
      <c r="B116" s="204"/>
      <c r="C116" s="204"/>
      <c r="D116" s="204"/>
      <c r="E116" s="204"/>
      <c r="F116" s="204"/>
      <c r="G116" s="204"/>
      <c r="H116" s="204"/>
      <c r="I116" s="204"/>
      <c r="J116" s="204"/>
      <c r="K116" s="204"/>
      <c r="L116" s="204"/>
      <c r="M116" s="204"/>
      <c r="N116" s="204"/>
      <c r="O116" s="204"/>
      <c r="P116" s="204"/>
      <c r="Q116" s="204"/>
      <c r="R116" s="204"/>
      <c r="S116" s="204"/>
      <c r="T116" s="204"/>
      <c r="U116" s="204"/>
      <c r="V116" s="204"/>
      <c r="W116" s="204"/>
    </row>
    <row r="117" spans="2:23" ht="12.75" customHeight="1">
      <c r="B117" s="204"/>
      <c r="C117" s="204"/>
      <c r="D117" s="204"/>
      <c r="E117" s="204"/>
      <c r="F117" s="204"/>
      <c r="G117" s="204"/>
      <c r="H117" s="204"/>
      <c r="I117" s="204"/>
      <c r="J117" s="204"/>
      <c r="K117" s="204"/>
      <c r="L117" s="204"/>
      <c r="M117" s="204"/>
      <c r="N117" s="204"/>
      <c r="O117" s="204"/>
      <c r="P117" s="204"/>
      <c r="Q117" s="204"/>
      <c r="R117" s="204"/>
      <c r="S117" s="204"/>
      <c r="T117" s="204"/>
      <c r="U117" s="204"/>
      <c r="V117" s="204"/>
      <c r="W117" s="204"/>
    </row>
    <row r="118" spans="2:23" ht="12.75" customHeight="1">
      <c r="B118" s="204"/>
      <c r="C118" s="204"/>
      <c r="D118" s="204"/>
      <c r="E118" s="204"/>
      <c r="F118" s="204"/>
      <c r="G118" s="204"/>
      <c r="H118" s="204"/>
      <c r="I118" s="204"/>
      <c r="J118" s="204"/>
      <c r="K118" s="204"/>
      <c r="L118" s="204"/>
      <c r="M118" s="204"/>
      <c r="N118" s="204"/>
      <c r="O118" s="204"/>
      <c r="P118" s="204"/>
      <c r="Q118" s="204"/>
      <c r="R118" s="204"/>
      <c r="S118" s="204"/>
      <c r="T118" s="204"/>
      <c r="U118" s="204"/>
      <c r="V118" s="204"/>
      <c r="W118" s="204"/>
    </row>
    <row r="119" spans="2:23" ht="12.75" customHeight="1">
      <c r="B119" s="204"/>
      <c r="C119" s="204"/>
      <c r="D119" s="204"/>
      <c r="E119" s="204"/>
      <c r="F119" s="204"/>
      <c r="G119" s="204"/>
      <c r="H119" s="204"/>
      <c r="I119" s="204"/>
      <c r="J119" s="204"/>
      <c r="K119" s="204"/>
      <c r="L119" s="204"/>
      <c r="M119" s="204"/>
      <c r="N119" s="204"/>
      <c r="O119" s="204"/>
      <c r="P119" s="204"/>
      <c r="Q119" s="204"/>
      <c r="R119" s="204"/>
      <c r="S119" s="204"/>
      <c r="T119" s="204"/>
      <c r="U119" s="204"/>
      <c r="V119" s="204"/>
      <c r="W119" s="204"/>
    </row>
    <row r="120" spans="2:23" ht="12.75" customHeight="1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  <c r="L120" s="204"/>
      <c r="M120" s="204"/>
      <c r="N120" s="204"/>
      <c r="O120" s="204"/>
      <c r="P120" s="204"/>
      <c r="Q120" s="204"/>
      <c r="R120" s="204"/>
      <c r="S120" s="204"/>
      <c r="T120" s="204"/>
      <c r="U120" s="204"/>
      <c r="V120" s="204"/>
      <c r="W120" s="204"/>
    </row>
    <row r="121" spans="2:23" ht="12.75" customHeight="1">
      <c r="B121" s="204"/>
      <c r="C121" s="204"/>
      <c r="D121" s="204"/>
      <c r="E121" s="204"/>
      <c r="F121" s="204"/>
      <c r="G121" s="204"/>
      <c r="H121" s="204"/>
      <c r="I121" s="204"/>
      <c r="J121" s="204"/>
      <c r="K121" s="204"/>
      <c r="L121" s="204"/>
      <c r="M121" s="204"/>
      <c r="N121" s="204"/>
      <c r="O121" s="204"/>
      <c r="P121" s="204"/>
      <c r="Q121" s="204"/>
      <c r="R121" s="204"/>
      <c r="S121" s="204"/>
      <c r="T121" s="204"/>
      <c r="U121" s="204"/>
      <c r="V121" s="204"/>
      <c r="W121" s="204"/>
    </row>
    <row r="122" spans="2:23" ht="12.75" customHeight="1">
      <c r="B122" s="204"/>
      <c r="C122" s="204"/>
      <c r="D122" s="204"/>
      <c r="E122" s="204"/>
      <c r="F122" s="204"/>
      <c r="G122" s="204"/>
      <c r="H122" s="204"/>
      <c r="I122" s="204"/>
      <c r="J122" s="204"/>
      <c r="K122" s="204"/>
      <c r="L122" s="204"/>
      <c r="M122" s="204"/>
      <c r="N122" s="204"/>
      <c r="O122" s="204"/>
      <c r="P122" s="204"/>
      <c r="Q122" s="204"/>
      <c r="R122" s="204"/>
      <c r="S122" s="204"/>
      <c r="T122" s="204"/>
      <c r="U122" s="204"/>
      <c r="V122" s="204"/>
      <c r="W122" s="204"/>
    </row>
    <row r="123" spans="2:23" ht="12.75" customHeight="1">
      <c r="B123" s="204"/>
      <c r="C123" s="204"/>
      <c r="D123" s="204"/>
      <c r="E123" s="204"/>
      <c r="F123" s="204"/>
      <c r="G123" s="204"/>
      <c r="H123" s="204"/>
      <c r="I123" s="204"/>
      <c r="J123" s="204"/>
      <c r="K123" s="204"/>
      <c r="L123" s="204"/>
      <c r="M123" s="204"/>
      <c r="N123" s="204"/>
      <c r="O123" s="204"/>
      <c r="P123" s="204"/>
      <c r="Q123" s="204"/>
      <c r="R123" s="204"/>
      <c r="S123" s="204"/>
      <c r="T123" s="204"/>
      <c r="U123" s="204"/>
      <c r="V123" s="204"/>
      <c r="W123" s="204"/>
    </row>
    <row r="124" spans="2:23" ht="12.75" customHeight="1">
      <c r="B124" s="204"/>
      <c r="C124" s="204"/>
      <c r="D124" s="204"/>
      <c r="E124" s="204"/>
      <c r="F124" s="204"/>
      <c r="G124" s="204"/>
      <c r="H124" s="204"/>
      <c r="I124" s="204"/>
      <c r="J124" s="204"/>
      <c r="K124" s="204"/>
      <c r="L124" s="204"/>
      <c r="M124" s="204"/>
      <c r="N124" s="204"/>
      <c r="O124" s="204"/>
      <c r="P124" s="204"/>
      <c r="Q124" s="204"/>
      <c r="R124" s="204"/>
      <c r="S124" s="204"/>
      <c r="T124" s="204"/>
      <c r="U124" s="204"/>
      <c r="V124" s="204"/>
      <c r="W124" s="204"/>
    </row>
    <row r="125" spans="2:23" ht="12.75" customHeight="1">
      <c r="B125" s="204"/>
      <c r="C125" s="204"/>
      <c r="D125" s="204"/>
      <c r="E125" s="204"/>
      <c r="F125" s="204"/>
      <c r="G125" s="204"/>
      <c r="H125" s="204"/>
      <c r="I125" s="204"/>
      <c r="J125" s="204"/>
      <c r="K125" s="204"/>
      <c r="L125" s="204"/>
      <c r="M125" s="204"/>
      <c r="N125" s="204"/>
      <c r="O125" s="204"/>
      <c r="P125" s="204"/>
      <c r="Q125" s="204"/>
      <c r="R125" s="204"/>
      <c r="S125" s="204"/>
      <c r="T125" s="204"/>
      <c r="U125" s="204"/>
      <c r="V125" s="204"/>
      <c r="W125" s="204"/>
    </row>
    <row r="126" spans="2:23" ht="12.75" customHeight="1">
      <c r="B126" s="204"/>
      <c r="C126" s="204"/>
      <c r="D126" s="204"/>
      <c r="E126" s="204"/>
      <c r="F126" s="204"/>
      <c r="G126" s="204"/>
      <c r="H126" s="204"/>
      <c r="I126" s="204"/>
      <c r="J126" s="204"/>
      <c r="K126" s="204"/>
      <c r="L126" s="204"/>
      <c r="M126" s="204"/>
      <c r="N126" s="204"/>
      <c r="O126" s="204"/>
      <c r="P126" s="204"/>
      <c r="Q126" s="204"/>
      <c r="R126" s="204"/>
      <c r="S126" s="204"/>
      <c r="T126" s="204"/>
      <c r="U126" s="204"/>
      <c r="V126" s="204"/>
      <c r="W126" s="204"/>
    </row>
    <row r="127" spans="2:23" ht="12.75" customHeight="1">
      <c r="B127" s="204"/>
      <c r="C127" s="204"/>
      <c r="D127" s="204"/>
      <c r="E127" s="204"/>
      <c r="F127" s="204"/>
      <c r="G127" s="204"/>
      <c r="H127" s="204"/>
      <c r="I127" s="204"/>
      <c r="J127" s="204"/>
      <c r="K127" s="204"/>
      <c r="L127" s="204"/>
      <c r="M127" s="204"/>
      <c r="N127" s="204"/>
      <c r="O127" s="204"/>
      <c r="P127" s="204"/>
      <c r="Q127" s="204"/>
      <c r="R127" s="204"/>
      <c r="S127" s="204"/>
      <c r="T127" s="204"/>
      <c r="U127" s="204"/>
      <c r="V127" s="204"/>
      <c r="W127" s="204"/>
    </row>
    <row r="128" spans="2:23" ht="12.75" customHeight="1">
      <c r="B128" s="204"/>
      <c r="C128" s="204"/>
      <c r="D128" s="204"/>
      <c r="E128" s="204"/>
      <c r="F128" s="204"/>
      <c r="G128" s="204"/>
      <c r="H128" s="204"/>
      <c r="I128" s="204"/>
      <c r="J128" s="204"/>
      <c r="K128" s="204"/>
      <c r="L128" s="204"/>
      <c r="M128" s="204"/>
      <c r="N128" s="204"/>
      <c r="O128" s="204"/>
      <c r="P128" s="204"/>
      <c r="Q128" s="204"/>
      <c r="R128" s="204"/>
      <c r="S128" s="204"/>
      <c r="T128" s="204"/>
      <c r="U128" s="204"/>
      <c r="V128" s="204"/>
      <c r="W128" s="204"/>
    </row>
    <row r="129" spans="2:23" ht="12.75" customHeight="1">
      <c r="B129" s="204"/>
      <c r="C129" s="204"/>
      <c r="D129" s="204"/>
      <c r="E129" s="204"/>
      <c r="F129" s="204"/>
      <c r="G129" s="204"/>
      <c r="H129" s="204"/>
      <c r="I129" s="204"/>
      <c r="J129" s="204"/>
      <c r="K129" s="204"/>
      <c r="L129" s="204"/>
      <c r="M129" s="204"/>
      <c r="N129" s="204"/>
      <c r="O129" s="204"/>
      <c r="P129" s="204"/>
      <c r="Q129" s="204"/>
      <c r="R129" s="204"/>
      <c r="S129" s="204"/>
      <c r="T129" s="204"/>
      <c r="U129" s="204"/>
      <c r="V129" s="204"/>
      <c r="W129" s="204"/>
    </row>
    <row r="130" spans="2:23" ht="12.75" customHeight="1">
      <c r="B130" s="204"/>
      <c r="C130" s="204"/>
      <c r="D130" s="204"/>
      <c r="E130" s="204"/>
      <c r="F130" s="204"/>
      <c r="G130" s="204"/>
      <c r="H130" s="204"/>
      <c r="I130" s="204"/>
      <c r="J130" s="204"/>
      <c r="K130" s="204"/>
      <c r="L130" s="204"/>
      <c r="M130" s="204"/>
      <c r="N130" s="204"/>
      <c r="O130" s="204"/>
      <c r="P130" s="204"/>
      <c r="Q130" s="204"/>
      <c r="R130" s="204"/>
      <c r="S130" s="204"/>
      <c r="T130" s="204"/>
      <c r="U130" s="204"/>
      <c r="V130" s="204"/>
      <c r="W130" s="204"/>
    </row>
    <row r="131" spans="2:23" ht="12.75" customHeight="1">
      <c r="B131" s="204"/>
      <c r="C131" s="204"/>
      <c r="D131" s="204"/>
      <c r="E131" s="204"/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4"/>
      <c r="V131" s="204"/>
      <c r="W131" s="204"/>
    </row>
    <row r="132" spans="2:23" ht="12.75" customHeight="1">
      <c r="B132" s="204"/>
      <c r="C132" s="204"/>
      <c r="D132" s="204"/>
      <c r="E132" s="204"/>
      <c r="F132" s="204"/>
      <c r="G132" s="204"/>
      <c r="H132" s="204"/>
      <c r="I132" s="204"/>
      <c r="J132" s="204"/>
      <c r="K132" s="204"/>
      <c r="L132" s="204"/>
      <c r="M132" s="204"/>
      <c r="N132" s="204"/>
      <c r="O132" s="204"/>
      <c r="P132" s="204"/>
      <c r="Q132" s="204"/>
      <c r="R132" s="204"/>
      <c r="S132" s="204"/>
      <c r="T132" s="204"/>
      <c r="U132" s="204"/>
      <c r="V132" s="204"/>
      <c r="W132" s="204"/>
    </row>
    <row r="133" spans="2:23" ht="12.75" customHeight="1">
      <c r="B133" s="204"/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  <c r="O133" s="204"/>
      <c r="P133" s="204"/>
      <c r="Q133" s="204"/>
      <c r="R133" s="204"/>
      <c r="S133" s="204"/>
      <c r="T133" s="204"/>
      <c r="U133" s="204"/>
      <c r="V133" s="204"/>
      <c r="W133" s="204"/>
    </row>
    <row r="134" spans="2:23" ht="12.75" customHeight="1">
      <c r="B134" s="204"/>
      <c r="C134" s="204"/>
      <c r="D134" s="204"/>
      <c r="E134" s="204"/>
      <c r="F134" s="204"/>
      <c r="G134" s="204"/>
      <c r="H134" s="204"/>
      <c r="I134" s="204"/>
      <c r="J134" s="204"/>
      <c r="K134" s="204"/>
      <c r="L134" s="204"/>
      <c r="M134" s="204"/>
      <c r="N134" s="204"/>
      <c r="O134" s="204"/>
      <c r="P134" s="204"/>
      <c r="Q134" s="204"/>
      <c r="R134" s="204"/>
      <c r="S134" s="204"/>
      <c r="T134" s="204"/>
      <c r="U134" s="204"/>
      <c r="V134" s="204"/>
      <c r="W134" s="204"/>
    </row>
    <row r="135" spans="2:23" ht="12.75" customHeight="1">
      <c r="B135" s="204"/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  <c r="O135" s="204"/>
      <c r="P135" s="204"/>
      <c r="Q135" s="204"/>
      <c r="R135" s="204"/>
      <c r="S135" s="204"/>
      <c r="T135" s="204"/>
      <c r="U135" s="204"/>
      <c r="V135" s="204"/>
      <c r="W135" s="204"/>
    </row>
    <row r="136" spans="2:23" ht="12.75" customHeight="1">
      <c r="B136" s="204"/>
      <c r="C136" s="204"/>
      <c r="D136" s="204"/>
      <c r="E136" s="204"/>
      <c r="F136" s="204"/>
      <c r="G136" s="204"/>
      <c r="H136" s="204"/>
      <c r="I136" s="204"/>
      <c r="J136" s="204"/>
      <c r="K136" s="204"/>
      <c r="L136" s="204"/>
      <c r="M136" s="204"/>
      <c r="N136" s="204"/>
      <c r="O136" s="204"/>
      <c r="P136" s="204"/>
      <c r="Q136" s="204"/>
      <c r="R136" s="204"/>
      <c r="S136" s="204"/>
      <c r="T136" s="204"/>
      <c r="U136" s="204"/>
      <c r="V136" s="204"/>
      <c r="W136" s="204"/>
    </row>
    <row r="137" spans="2:23" ht="12.75" customHeight="1">
      <c r="B137" s="204"/>
      <c r="C137" s="204"/>
      <c r="D137" s="204"/>
      <c r="E137" s="204"/>
      <c r="F137" s="204"/>
      <c r="G137" s="204"/>
      <c r="H137" s="204"/>
      <c r="I137" s="204"/>
      <c r="J137" s="204"/>
      <c r="K137" s="204"/>
      <c r="L137" s="204"/>
      <c r="M137" s="204"/>
      <c r="N137" s="204"/>
      <c r="O137" s="204"/>
      <c r="P137" s="204"/>
      <c r="Q137" s="204"/>
      <c r="R137" s="204"/>
      <c r="S137" s="204"/>
      <c r="T137" s="204"/>
      <c r="U137" s="204"/>
      <c r="V137" s="204"/>
      <c r="W137" s="204"/>
    </row>
    <row r="138" spans="2:23" ht="12.75" customHeight="1">
      <c r="B138" s="204"/>
      <c r="C138" s="204"/>
      <c r="D138" s="204"/>
      <c r="E138" s="204"/>
      <c r="F138" s="204"/>
      <c r="G138" s="204"/>
      <c r="H138" s="204"/>
      <c r="I138" s="204"/>
      <c r="J138" s="204"/>
      <c r="K138" s="204"/>
      <c r="L138" s="204"/>
      <c r="M138" s="204"/>
      <c r="N138" s="204"/>
      <c r="O138" s="204"/>
      <c r="P138" s="204"/>
      <c r="Q138" s="204"/>
      <c r="R138" s="204"/>
      <c r="S138" s="204"/>
      <c r="T138" s="204"/>
      <c r="U138" s="204"/>
      <c r="V138" s="204"/>
      <c r="W138" s="204"/>
    </row>
    <row r="139" spans="2:23" ht="12.75" customHeight="1">
      <c r="B139" s="204"/>
      <c r="C139" s="204"/>
      <c r="D139" s="204"/>
      <c r="E139" s="204"/>
      <c r="F139" s="204"/>
      <c r="G139" s="204"/>
      <c r="H139" s="204"/>
      <c r="I139" s="204"/>
      <c r="J139" s="204"/>
      <c r="K139" s="204"/>
      <c r="L139" s="204"/>
      <c r="M139" s="204"/>
      <c r="N139" s="204"/>
      <c r="O139" s="204"/>
      <c r="P139" s="204"/>
      <c r="Q139" s="204"/>
      <c r="R139" s="204"/>
      <c r="S139" s="204"/>
      <c r="T139" s="204"/>
      <c r="U139" s="204"/>
      <c r="V139" s="204"/>
      <c r="W139" s="204"/>
    </row>
    <row r="140" spans="2:23" ht="12.75" customHeight="1">
      <c r="B140" s="204"/>
      <c r="C140" s="204"/>
      <c r="D140" s="204"/>
      <c r="E140" s="204"/>
      <c r="F140" s="204"/>
      <c r="G140" s="204"/>
      <c r="H140" s="204"/>
      <c r="I140" s="204"/>
      <c r="J140" s="204"/>
      <c r="K140" s="204"/>
      <c r="L140" s="204"/>
      <c r="M140" s="204"/>
      <c r="N140" s="204"/>
      <c r="O140" s="204"/>
      <c r="P140" s="204"/>
      <c r="Q140" s="204"/>
      <c r="R140" s="204"/>
      <c r="S140" s="204"/>
      <c r="T140" s="204"/>
      <c r="U140" s="204"/>
      <c r="V140" s="204"/>
      <c r="W140" s="204"/>
    </row>
    <row r="141" spans="2:23" ht="12.75" customHeight="1">
      <c r="B141" s="204"/>
      <c r="C141" s="204"/>
      <c r="D141" s="204"/>
      <c r="E141" s="204"/>
      <c r="F141" s="204"/>
      <c r="G141" s="204"/>
      <c r="H141" s="204"/>
      <c r="I141" s="204"/>
      <c r="J141" s="204"/>
      <c r="K141" s="204"/>
      <c r="L141" s="204"/>
      <c r="M141" s="204"/>
      <c r="N141" s="204"/>
      <c r="O141" s="204"/>
      <c r="P141" s="204"/>
      <c r="Q141" s="204"/>
      <c r="R141" s="204"/>
      <c r="S141" s="204"/>
      <c r="T141" s="204"/>
      <c r="U141" s="204"/>
      <c r="V141" s="204"/>
      <c r="W141" s="204"/>
    </row>
    <row r="142" spans="2:23" ht="12.75" customHeight="1">
      <c r="B142" s="204"/>
      <c r="C142" s="204"/>
      <c r="D142" s="204"/>
      <c r="E142" s="204"/>
      <c r="F142" s="204"/>
      <c r="G142" s="204"/>
      <c r="H142" s="204"/>
      <c r="I142" s="204"/>
      <c r="J142" s="204"/>
      <c r="K142" s="204"/>
      <c r="L142" s="204"/>
      <c r="M142" s="204"/>
      <c r="N142" s="204"/>
      <c r="O142" s="204"/>
      <c r="P142" s="204"/>
      <c r="Q142" s="204"/>
      <c r="R142" s="204"/>
      <c r="S142" s="204"/>
      <c r="T142" s="204"/>
      <c r="U142" s="204"/>
      <c r="V142" s="204"/>
      <c r="W142" s="204"/>
    </row>
    <row r="143" spans="2:23" ht="12.75" customHeight="1">
      <c r="B143" s="204"/>
      <c r="C143" s="204"/>
      <c r="D143" s="204"/>
      <c r="E143" s="204"/>
      <c r="F143" s="204"/>
      <c r="G143" s="204"/>
      <c r="H143" s="204"/>
      <c r="I143" s="204"/>
      <c r="J143" s="204"/>
      <c r="K143" s="204"/>
      <c r="L143" s="204"/>
      <c r="M143" s="204"/>
      <c r="N143" s="204"/>
      <c r="O143" s="204"/>
      <c r="P143" s="204"/>
      <c r="Q143" s="204"/>
      <c r="R143" s="204"/>
      <c r="S143" s="204"/>
      <c r="T143" s="204"/>
      <c r="U143" s="204"/>
      <c r="V143" s="204"/>
      <c r="W143" s="204"/>
    </row>
    <row r="144" spans="2:23" ht="12.75" customHeight="1">
      <c r="B144" s="204"/>
      <c r="C144" s="204"/>
      <c r="D144" s="204"/>
      <c r="E144" s="204"/>
      <c r="F144" s="204"/>
      <c r="G144" s="204"/>
      <c r="H144" s="204"/>
      <c r="I144" s="204"/>
      <c r="J144" s="204"/>
      <c r="K144" s="204"/>
      <c r="L144" s="204"/>
      <c r="M144" s="204"/>
      <c r="N144" s="204"/>
      <c r="O144" s="204"/>
      <c r="P144" s="204"/>
      <c r="Q144" s="204"/>
      <c r="R144" s="204"/>
      <c r="S144" s="204"/>
      <c r="T144" s="204"/>
      <c r="U144" s="204"/>
      <c r="V144" s="204"/>
      <c r="W144" s="204"/>
    </row>
    <row r="145" spans="2:23" ht="12.75" customHeight="1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  <c r="L145" s="204"/>
      <c r="M145" s="204"/>
      <c r="N145" s="204"/>
      <c r="O145" s="204"/>
      <c r="P145" s="204"/>
      <c r="Q145" s="204"/>
      <c r="R145" s="204"/>
      <c r="S145" s="204"/>
      <c r="T145" s="204"/>
      <c r="U145" s="204"/>
      <c r="V145" s="204"/>
      <c r="W145" s="204"/>
    </row>
    <row r="146" spans="2:23" ht="12.75" customHeight="1">
      <c r="B146" s="204"/>
      <c r="C146" s="204"/>
      <c r="D146" s="204"/>
      <c r="E146" s="204"/>
      <c r="F146" s="204"/>
      <c r="G146" s="204"/>
      <c r="H146" s="204"/>
      <c r="I146" s="204"/>
      <c r="J146" s="204"/>
      <c r="K146" s="204"/>
      <c r="L146" s="204"/>
      <c r="M146" s="204"/>
      <c r="N146" s="204"/>
      <c r="O146" s="204"/>
      <c r="P146" s="204"/>
      <c r="Q146" s="204"/>
      <c r="R146" s="204"/>
      <c r="S146" s="204"/>
      <c r="T146" s="204"/>
      <c r="U146" s="204"/>
      <c r="V146" s="204"/>
      <c r="W146" s="204"/>
    </row>
    <row r="147" spans="2:23" ht="12.75" customHeight="1">
      <c r="B147" s="204"/>
      <c r="C147" s="204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  <c r="O147" s="204"/>
      <c r="P147" s="204"/>
      <c r="Q147" s="204"/>
      <c r="R147" s="204"/>
      <c r="S147" s="204"/>
      <c r="T147" s="204"/>
      <c r="U147" s="204"/>
      <c r="V147" s="204"/>
      <c r="W147" s="204"/>
    </row>
    <row r="148" spans="2:23" ht="12.75" customHeight="1">
      <c r="B148" s="204"/>
      <c r="C148" s="204"/>
      <c r="D148" s="204"/>
      <c r="E148" s="204"/>
      <c r="F148" s="204"/>
      <c r="G148" s="204"/>
      <c r="H148" s="204"/>
      <c r="I148" s="204"/>
      <c r="J148" s="204"/>
      <c r="K148" s="204"/>
      <c r="L148" s="204"/>
      <c r="M148" s="204"/>
      <c r="N148" s="204"/>
      <c r="O148" s="204"/>
      <c r="P148" s="204"/>
      <c r="Q148" s="204"/>
      <c r="R148" s="204"/>
      <c r="S148" s="204"/>
      <c r="T148" s="204"/>
      <c r="U148" s="204"/>
      <c r="V148" s="204"/>
      <c r="W148" s="204"/>
    </row>
    <row r="149" spans="2:23" ht="12.75" customHeight="1">
      <c r="B149" s="204"/>
      <c r="C149" s="204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  <c r="O149" s="204"/>
      <c r="P149" s="204"/>
      <c r="Q149" s="204"/>
      <c r="R149" s="204"/>
      <c r="S149" s="204"/>
      <c r="T149" s="204"/>
      <c r="U149" s="204"/>
      <c r="V149" s="204"/>
      <c r="W149" s="204"/>
    </row>
    <row r="150" spans="2:23" ht="12.75" customHeight="1">
      <c r="B150" s="204"/>
      <c r="C150" s="204"/>
      <c r="D150" s="204"/>
      <c r="E150" s="204"/>
      <c r="F150" s="204"/>
      <c r="G150" s="204"/>
      <c r="H150" s="204"/>
      <c r="I150" s="204"/>
      <c r="J150" s="204"/>
      <c r="K150" s="204"/>
      <c r="L150" s="204"/>
      <c r="M150" s="204"/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</row>
    <row r="151" spans="2:23" ht="12.75" customHeight="1">
      <c r="B151" s="204"/>
      <c r="C151" s="204"/>
      <c r="D151" s="204"/>
      <c r="E151" s="204"/>
      <c r="F151" s="204"/>
      <c r="G151" s="204"/>
      <c r="H151" s="204"/>
      <c r="I151" s="204"/>
      <c r="J151" s="204"/>
      <c r="K151" s="204"/>
      <c r="L151" s="204"/>
      <c r="M151" s="204"/>
      <c r="N151" s="204"/>
      <c r="O151" s="204"/>
      <c r="P151" s="204"/>
      <c r="Q151" s="204"/>
      <c r="R151" s="204"/>
      <c r="S151" s="204"/>
      <c r="T151" s="204"/>
      <c r="U151" s="204"/>
      <c r="V151" s="204"/>
      <c r="W151" s="204"/>
    </row>
    <row r="152" spans="2:23" ht="12.75" customHeight="1">
      <c r="B152" s="204"/>
      <c r="C152" s="204"/>
      <c r="D152" s="204"/>
      <c r="E152" s="204"/>
      <c r="F152" s="204"/>
      <c r="G152" s="204"/>
      <c r="H152" s="204"/>
      <c r="I152" s="204"/>
      <c r="J152" s="204"/>
      <c r="K152" s="204"/>
      <c r="L152" s="204"/>
      <c r="M152" s="204"/>
      <c r="N152" s="204"/>
      <c r="O152" s="204"/>
      <c r="P152" s="204"/>
      <c r="Q152" s="204"/>
      <c r="R152" s="204"/>
      <c r="S152" s="204"/>
      <c r="T152" s="204"/>
      <c r="U152" s="204"/>
      <c r="V152" s="204"/>
      <c r="W152" s="204"/>
    </row>
    <row r="153" spans="2:23" ht="12.75" customHeight="1">
      <c r="B153" s="204"/>
      <c r="C153" s="204"/>
      <c r="D153" s="204"/>
      <c r="E153" s="204"/>
      <c r="F153" s="204"/>
      <c r="G153" s="204"/>
      <c r="H153" s="204"/>
      <c r="I153" s="204"/>
      <c r="J153" s="204"/>
      <c r="K153" s="204"/>
      <c r="L153" s="204"/>
      <c r="M153" s="204"/>
      <c r="N153" s="204"/>
      <c r="O153" s="204"/>
      <c r="P153" s="204"/>
      <c r="Q153" s="204"/>
      <c r="R153" s="204"/>
      <c r="S153" s="204"/>
      <c r="T153" s="204"/>
      <c r="U153" s="204"/>
      <c r="V153" s="204"/>
      <c r="W153" s="204"/>
    </row>
    <row r="154" spans="2:23" ht="12.75" customHeight="1">
      <c r="B154" s="204"/>
      <c r="C154" s="204"/>
      <c r="D154" s="204"/>
      <c r="E154" s="204"/>
      <c r="F154" s="204"/>
      <c r="G154" s="204"/>
      <c r="H154" s="204"/>
      <c r="I154" s="204"/>
      <c r="J154" s="204"/>
      <c r="K154" s="204"/>
      <c r="L154" s="204"/>
      <c r="M154" s="204"/>
      <c r="N154" s="204"/>
      <c r="O154" s="204"/>
      <c r="P154" s="204"/>
      <c r="Q154" s="204"/>
      <c r="R154" s="204"/>
      <c r="S154" s="204"/>
      <c r="T154" s="204"/>
      <c r="U154" s="204"/>
      <c r="V154" s="204"/>
      <c r="W154" s="204"/>
    </row>
    <row r="155" spans="2:23" ht="12.75" customHeight="1">
      <c r="B155" s="204"/>
      <c r="C155" s="204"/>
      <c r="D155" s="204"/>
      <c r="E155" s="204"/>
      <c r="F155" s="204"/>
      <c r="G155" s="204"/>
      <c r="H155" s="204"/>
      <c r="I155" s="204"/>
      <c r="J155" s="204"/>
      <c r="K155" s="204"/>
      <c r="L155" s="204"/>
      <c r="M155" s="204"/>
      <c r="N155" s="204"/>
      <c r="O155" s="204"/>
      <c r="P155" s="204"/>
      <c r="Q155" s="204"/>
      <c r="R155" s="204"/>
      <c r="S155" s="204"/>
      <c r="T155" s="204"/>
      <c r="U155" s="204"/>
      <c r="V155" s="204"/>
      <c r="W155" s="204"/>
    </row>
    <row r="156" spans="2:23" ht="12.75" customHeight="1">
      <c r="B156" s="204"/>
      <c r="C156" s="204"/>
      <c r="D156" s="204"/>
      <c r="E156" s="204"/>
      <c r="F156" s="204"/>
      <c r="G156" s="204"/>
      <c r="H156" s="204"/>
      <c r="I156" s="204"/>
      <c r="J156" s="204"/>
      <c r="K156" s="204"/>
      <c r="L156" s="204"/>
      <c r="M156" s="204"/>
      <c r="N156" s="204"/>
      <c r="O156" s="204"/>
      <c r="P156" s="204"/>
      <c r="Q156" s="204"/>
      <c r="R156" s="204"/>
      <c r="S156" s="204"/>
      <c r="T156" s="204"/>
      <c r="U156" s="204"/>
      <c r="V156" s="204"/>
      <c r="W156" s="204"/>
    </row>
    <row r="157" spans="2:23" ht="12.75" customHeight="1">
      <c r="B157" s="204"/>
      <c r="C157" s="204"/>
      <c r="D157" s="204"/>
      <c r="E157" s="204"/>
      <c r="F157" s="204"/>
      <c r="G157" s="204"/>
      <c r="H157" s="204"/>
      <c r="I157" s="204"/>
      <c r="J157" s="204"/>
      <c r="K157" s="204"/>
      <c r="L157" s="204"/>
      <c r="M157" s="204"/>
      <c r="N157" s="204"/>
      <c r="O157" s="204"/>
      <c r="P157" s="204"/>
      <c r="Q157" s="204"/>
      <c r="R157" s="204"/>
      <c r="S157" s="204"/>
      <c r="T157" s="204"/>
      <c r="U157" s="204"/>
      <c r="V157" s="204"/>
      <c r="W157" s="204"/>
    </row>
    <row r="158" spans="2:23" ht="12.75" customHeight="1">
      <c r="B158" s="204"/>
      <c r="C158" s="204"/>
      <c r="D158" s="204"/>
      <c r="E158" s="204"/>
      <c r="F158" s="204"/>
      <c r="G158" s="204"/>
      <c r="H158" s="204"/>
      <c r="I158" s="204"/>
      <c r="J158" s="204"/>
      <c r="K158" s="204"/>
      <c r="L158" s="204"/>
      <c r="M158" s="204"/>
      <c r="N158" s="204"/>
      <c r="O158" s="204"/>
      <c r="P158" s="204"/>
      <c r="Q158" s="204"/>
      <c r="R158" s="204"/>
      <c r="S158" s="204"/>
      <c r="T158" s="204"/>
      <c r="U158" s="204"/>
      <c r="V158" s="204"/>
      <c r="W158" s="204"/>
    </row>
    <row r="159" spans="2:23" ht="12.75" customHeight="1">
      <c r="B159" s="204"/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  <c r="O159" s="204"/>
      <c r="P159" s="204"/>
      <c r="Q159" s="204"/>
      <c r="R159" s="204"/>
      <c r="S159" s="204"/>
      <c r="T159" s="204"/>
      <c r="U159" s="204"/>
      <c r="V159" s="204"/>
      <c r="W159" s="204"/>
    </row>
    <row r="160" spans="2:23" ht="12.75" customHeight="1">
      <c r="B160" s="204"/>
      <c r="C160" s="204"/>
      <c r="D160" s="204"/>
      <c r="E160" s="204"/>
      <c r="F160" s="204"/>
      <c r="G160" s="204"/>
      <c r="H160" s="204"/>
      <c r="I160" s="204"/>
      <c r="J160" s="204"/>
      <c r="K160" s="204"/>
      <c r="L160" s="204"/>
      <c r="M160" s="204"/>
      <c r="N160" s="204"/>
      <c r="O160" s="204"/>
      <c r="P160" s="204"/>
      <c r="Q160" s="204"/>
      <c r="R160" s="204"/>
      <c r="S160" s="204"/>
      <c r="T160" s="204"/>
      <c r="U160" s="204"/>
      <c r="V160" s="204"/>
      <c r="W160" s="204"/>
    </row>
    <row r="161" spans="2:23" ht="12.75" customHeight="1">
      <c r="B161" s="204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04"/>
      <c r="Q161" s="204"/>
      <c r="R161" s="204"/>
      <c r="S161" s="204"/>
      <c r="T161" s="204"/>
      <c r="U161" s="204"/>
      <c r="V161" s="204"/>
      <c r="W161" s="204"/>
    </row>
    <row r="162" spans="2:23" ht="12.75" customHeight="1">
      <c r="B162" s="204"/>
      <c r="C162" s="204"/>
      <c r="D162" s="204"/>
      <c r="E162" s="204"/>
      <c r="F162" s="204"/>
      <c r="G162" s="204"/>
      <c r="H162" s="204"/>
      <c r="I162" s="204"/>
      <c r="J162" s="204"/>
      <c r="K162" s="204"/>
      <c r="L162" s="204"/>
      <c r="M162" s="204"/>
      <c r="N162" s="204"/>
      <c r="O162" s="204"/>
      <c r="P162" s="204"/>
      <c r="Q162" s="204"/>
      <c r="R162" s="204"/>
      <c r="S162" s="204"/>
      <c r="T162" s="204"/>
      <c r="U162" s="204"/>
      <c r="V162" s="204"/>
      <c r="W162" s="204"/>
    </row>
    <row r="163" spans="2:23" ht="12.75" customHeight="1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  <c r="L163" s="204"/>
      <c r="M163" s="204"/>
      <c r="N163" s="204"/>
      <c r="O163" s="204"/>
      <c r="P163" s="204"/>
      <c r="Q163" s="204"/>
      <c r="R163" s="204"/>
      <c r="S163" s="204"/>
      <c r="T163" s="204"/>
      <c r="U163" s="204"/>
      <c r="V163" s="204"/>
      <c r="W163" s="204"/>
    </row>
    <row r="164" spans="2:23" ht="12.75" customHeight="1">
      <c r="B164" s="204"/>
      <c r="C164" s="204"/>
      <c r="D164" s="204"/>
      <c r="E164" s="204"/>
      <c r="F164" s="204"/>
      <c r="G164" s="204"/>
      <c r="H164" s="204"/>
      <c r="I164" s="204"/>
      <c r="J164" s="204"/>
      <c r="K164" s="204"/>
      <c r="L164" s="204"/>
      <c r="M164" s="204"/>
      <c r="N164" s="204"/>
      <c r="O164" s="204"/>
      <c r="P164" s="204"/>
      <c r="Q164" s="204"/>
      <c r="R164" s="204"/>
      <c r="S164" s="204"/>
      <c r="T164" s="204"/>
      <c r="U164" s="204"/>
      <c r="V164" s="204"/>
      <c r="W164" s="204"/>
    </row>
    <row r="165" spans="2:23" ht="12.75" customHeight="1">
      <c r="B165" s="204"/>
      <c r="C165" s="204"/>
      <c r="D165" s="204"/>
      <c r="E165" s="204"/>
      <c r="F165" s="204"/>
      <c r="G165" s="204"/>
      <c r="H165" s="204"/>
      <c r="I165" s="204"/>
      <c r="J165" s="204"/>
      <c r="K165" s="204"/>
      <c r="L165" s="204"/>
      <c r="M165" s="204"/>
      <c r="N165" s="204"/>
      <c r="O165" s="204"/>
      <c r="P165" s="204"/>
      <c r="Q165" s="204"/>
      <c r="R165" s="204"/>
      <c r="S165" s="204"/>
      <c r="T165" s="204"/>
      <c r="U165" s="204"/>
      <c r="V165" s="204"/>
      <c r="W165" s="204"/>
    </row>
    <row r="166" spans="2:23" ht="12.75" customHeight="1">
      <c r="B166" s="204"/>
      <c r="C166" s="204"/>
      <c r="D166" s="204"/>
      <c r="E166" s="204"/>
      <c r="F166" s="204"/>
      <c r="G166" s="204"/>
      <c r="H166" s="204"/>
      <c r="I166" s="204"/>
      <c r="J166" s="204"/>
      <c r="K166" s="204"/>
      <c r="L166" s="204"/>
      <c r="M166" s="204"/>
      <c r="N166" s="204"/>
      <c r="O166" s="204"/>
      <c r="P166" s="204"/>
      <c r="Q166" s="204"/>
      <c r="R166" s="204"/>
      <c r="S166" s="204"/>
      <c r="T166" s="204"/>
      <c r="U166" s="204"/>
      <c r="V166" s="204"/>
      <c r="W166" s="204"/>
    </row>
    <row r="167" spans="2:23" ht="12.75" customHeight="1">
      <c r="B167" s="204"/>
      <c r="C167" s="204"/>
      <c r="D167" s="204"/>
      <c r="E167" s="204"/>
      <c r="F167" s="204"/>
      <c r="G167" s="204"/>
      <c r="H167" s="204"/>
      <c r="I167" s="204"/>
      <c r="J167" s="204"/>
      <c r="K167" s="204"/>
      <c r="L167" s="204"/>
      <c r="M167" s="204"/>
      <c r="N167" s="204"/>
      <c r="O167" s="204"/>
      <c r="P167" s="204"/>
      <c r="Q167" s="204"/>
      <c r="R167" s="204"/>
      <c r="S167" s="204"/>
      <c r="T167" s="204"/>
      <c r="U167" s="204"/>
      <c r="V167" s="204"/>
      <c r="W167" s="204"/>
    </row>
    <row r="168" spans="2:23" ht="12.75" customHeight="1">
      <c r="B168" s="204"/>
      <c r="C168" s="204"/>
      <c r="D168" s="204"/>
      <c r="E168" s="204"/>
      <c r="F168" s="204"/>
      <c r="G168" s="204"/>
      <c r="H168" s="204"/>
      <c r="I168" s="204"/>
      <c r="J168" s="204"/>
      <c r="K168" s="204"/>
      <c r="L168" s="204"/>
      <c r="M168" s="204"/>
      <c r="N168" s="204"/>
      <c r="O168" s="204"/>
      <c r="P168" s="204"/>
      <c r="Q168" s="204"/>
      <c r="R168" s="204"/>
      <c r="S168" s="204"/>
      <c r="T168" s="204"/>
      <c r="U168" s="204"/>
      <c r="V168" s="204"/>
      <c r="W168" s="204"/>
    </row>
    <row r="169" spans="2:23" ht="12.75" customHeight="1">
      <c r="B169" s="204"/>
      <c r="C169" s="204"/>
      <c r="D169" s="204"/>
      <c r="E169" s="204"/>
      <c r="F169" s="204"/>
      <c r="G169" s="204"/>
      <c r="H169" s="204"/>
      <c r="I169" s="204"/>
      <c r="J169" s="204"/>
      <c r="K169" s="204"/>
      <c r="L169" s="204"/>
      <c r="M169" s="204"/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</row>
    <row r="170" spans="2:23" ht="12.75" customHeight="1">
      <c r="B170" s="204"/>
      <c r="C170" s="204"/>
      <c r="D170" s="204"/>
      <c r="E170" s="204"/>
      <c r="F170" s="204"/>
      <c r="G170" s="204"/>
      <c r="H170" s="204"/>
      <c r="I170" s="204"/>
      <c r="J170" s="204"/>
      <c r="K170" s="204"/>
      <c r="L170" s="204"/>
      <c r="M170" s="204"/>
      <c r="N170" s="204"/>
      <c r="O170" s="204"/>
      <c r="P170" s="204"/>
      <c r="Q170" s="204"/>
      <c r="R170" s="204"/>
      <c r="S170" s="204"/>
      <c r="T170" s="204"/>
      <c r="U170" s="204"/>
      <c r="V170" s="204"/>
      <c r="W170" s="204"/>
    </row>
    <row r="171" spans="2:23" ht="12.75" customHeight="1">
      <c r="B171" s="204"/>
      <c r="C171" s="204"/>
      <c r="D171" s="204"/>
      <c r="E171" s="204"/>
      <c r="F171" s="204"/>
      <c r="G171" s="204"/>
      <c r="H171" s="204"/>
      <c r="I171" s="204"/>
      <c r="J171" s="204"/>
      <c r="K171" s="204"/>
      <c r="L171" s="204"/>
      <c r="M171" s="204"/>
      <c r="N171" s="204"/>
      <c r="O171" s="204"/>
      <c r="P171" s="204"/>
      <c r="Q171" s="204"/>
      <c r="R171" s="204"/>
      <c r="S171" s="204"/>
      <c r="T171" s="204"/>
      <c r="U171" s="204"/>
      <c r="V171" s="204"/>
      <c r="W171" s="204"/>
    </row>
    <row r="172" spans="2:23" ht="12.75" customHeight="1">
      <c r="B172" s="204"/>
      <c r="C172" s="204"/>
      <c r="D172" s="204"/>
      <c r="E172" s="204"/>
      <c r="F172" s="204"/>
      <c r="G172" s="204"/>
      <c r="H172" s="204"/>
      <c r="I172" s="204"/>
      <c r="J172" s="204"/>
      <c r="K172" s="204"/>
      <c r="L172" s="204"/>
      <c r="M172" s="204"/>
      <c r="N172" s="204"/>
      <c r="O172" s="204"/>
      <c r="P172" s="204"/>
      <c r="Q172" s="204"/>
      <c r="R172" s="204"/>
      <c r="S172" s="204"/>
      <c r="T172" s="204"/>
      <c r="U172" s="204"/>
      <c r="V172" s="204"/>
      <c r="W172" s="204"/>
    </row>
    <row r="173" spans="2:23" ht="12.75" customHeight="1">
      <c r="B173" s="204"/>
      <c r="C173" s="204"/>
      <c r="D173" s="204"/>
      <c r="E173" s="204"/>
      <c r="F173" s="204"/>
      <c r="G173" s="204"/>
      <c r="H173" s="204"/>
      <c r="I173" s="204"/>
      <c r="J173" s="204"/>
      <c r="K173" s="204"/>
      <c r="L173" s="204"/>
      <c r="M173" s="204"/>
      <c r="N173" s="204"/>
      <c r="O173" s="204"/>
      <c r="P173" s="204"/>
      <c r="Q173" s="204"/>
      <c r="R173" s="204"/>
      <c r="S173" s="204"/>
      <c r="T173" s="204"/>
      <c r="U173" s="204"/>
      <c r="V173" s="204"/>
      <c r="W173" s="204"/>
    </row>
    <row r="174" spans="2:23" ht="12.75" customHeight="1">
      <c r="B174" s="204"/>
      <c r="C174" s="204"/>
      <c r="D174" s="204"/>
      <c r="E174" s="204"/>
      <c r="F174" s="204"/>
      <c r="G174" s="204"/>
      <c r="H174" s="204"/>
      <c r="I174" s="204"/>
      <c r="J174" s="204"/>
      <c r="K174" s="204"/>
      <c r="L174" s="204"/>
      <c r="M174" s="204"/>
      <c r="N174" s="204"/>
      <c r="O174" s="204"/>
      <c r="P174" s="204"/>
      <c r="Q174" s="204"/>
      <c r="R174" s="204"/>
      <c r="S174" s="204"/>
      <c r="T174" s="204"/>
      <c r="U174" s="204"/>
      <c r="V174" s="204"/>
      <c r="W174" s="204"/>
    </row>
    <row r="175" spans="2:23" ht="12.75" customHeight="1">
      <c r="B175" s="204"/>
      <c r="C175" s="204"/>
      <c r="D175" s="204"/>
      <c r="E175" s="204"/>
      <c r="F175" s="204"/>
      <c r="G175" s="204"/>
      <c r="H175" s="204"/>
      <c r="I175" s="204"/>
      <c r="J175" s="204"/>
      <c r="K175" s="204"/>
      <c r="L175" s="204"/>
      <c r="M175" s="204"/>
      <c r="N175" s="204"/>
      <c r="O175" s="204"/>
      <c r="P175" s="204"/>
      <c r="Q175" s="204"/>
      <c r="R175" s="204"/>
      <c r="S175" s="204"/>
      <c r="T175" s="204"/>
      <c r="U175" s="204"/>
      <c r="V175" s="204"/>
      <c r="W175" s="204"/>
    </row>
    <row r="176" spans="2:23" ht="12.75" customHeight="1">
      <c r="B176" s="204"/>
      <c r="C176" s="204"/>
      <c r="D176" s="204"/>
      <c r="E176" s="204"/>
      <c r="F176" s="204"/>
      <c r="G176" s="204"/>
      <c r="H176" s="204"/>
      <c r="I176" s="204"/>
      <c r="J176" s="204"/>
      <c r="K176" s="204"/>
      <c r="L176" s="204"/>
      <c r="M176" s="204"/>
      <c r="N176" s="204"/>
      <c r="O176" s="204"/>
      <c r="P176" s="204"/>
      <c r="Q176" s="204"/>
      <c r="R176" s="204"/>
      <c r="S176" s="204"/>
      <c r="T176" s="204"/>
      <c r="U176" s="204"/>
      <c r="V176" s="204"/>
      <c r="W176" s="204"/>
    </row>
    <row r="177" spans="2:23" ht="12.75" customHeight="1">
      <c r="B177" s="204"/>
      <c r="C177" s="204"/>
      <c r="D177" s="204"/>
      <c r="E177" s="204"/>
      <c r="F177" s="204"/>
      <c r="G177" s="204"/>
      <c r="H177" s="204"/>
      <c r="I177" s="204"/>
      <c r="J177" s="204"/>
      <c r="K177" s="204"/>
      <c r="L177" s="204"/>
      <c r="M177" s="204"/>
      <c r="N177" s="204"/>
      <c r="O177" s="204"/>
      <c r="P177" s="204"/>
      <c r="Q177" s="204"/>
      <c r="R177" s="204"/>
      <c r="S177" s="204"/>
      <c r="T177" s="204"/>
      <c r="U177" s="204"/>
      <c r="V177" s="204"/>
      <c r="W177" s="204"/>
    </row>
    <row r="178" spans="2:23" ht="12.75" customHeight="1">
      <c r="B178" s="204"/>
      <c r="C178" s="204"/>
      <c r="D178" s="204"/>
      <c r="E178" s="204"/>
      <c r="F178" s="204"/>
      <c r="G178" s="204"/>
      <c r="H178" s="204"/>
      <c r="I178" s="204"/>
      <c r="J178" s="204"/>
      <c r="K178" s="204"/>
      <c r="L178" s="204"/>
      <c r="M178" s="204"/>
      <c r="N178" s="204"/>
      <c r="O178" s="204"/>
      <c r="P178" s="204"/>
      <c r="Q178" s="204"/>
      <c r="R178" s="204"/>
      <c r="S178" s="204"/>
      <c r="T178" s="204"/>
      <c r="U178" s="204"/>
      <c r="V178" s="204"/>
      <c r="W178" s="204"/>
    </row>
    <row r="179" spans="2:23" ht="12.75" customHeight="1">
      <c r="B179" s="204"/>
      <c r="C179" s="204"/>
      <c r="D179" s="204"/>
      <c r="E179" s="204"/>
      <c r="F179" s="204"/>
      <c r="G179" s="204"/>
      <c r="H179" s="204"/>
      <c r="I179" s="204"/>
      <c r="J179" s="204"/>
      <c r="K179" s="204"/>
      <c r="L179" s="204"/>
      <c r="M179" s="204"/>
      <c r="N179" s="204"/>
      <c r="O179" s="204"/>
      <c r="P179" s="204"/>
      <c r="Q179" s="204"/>
      <c r="R179" s="204"/>
      <c r="S179" s="204"/>
      <c r="T179" s="204"/>
      <c r="U179" s="204"/>
      <c r="V179" s="204"/>
      <c r="W179" s="204"/>
    </row>
    <row r="180" spans="2:23" ht="12.75" customHeight="1">
      <c r="B180" s="204"/>
      <c r="C180" s="204"/>
      <c r="D180" s="204"/>
      <c r="E180" s="204"/>
      <c r="F180" s="204"/>
      <c r="G180" s="204"/>
      <c r="H180" s="204"/>
      <c r="I180" s="204"/>
      <c r="J180" s="204"/>
      <c r="K180" s="204"/>
      <c r="L180" s="204"/>
      <c r="M180" s="204"/>
      <c r="N180" s="204"/>
      <c r="O180" s="204"/>
      <c r="P180" s="204"/>
      <c r="Q180" s="204"/>
      <c r="R180" s="204"/>
      <c r="S180" s="204"/>
      <c r="T180" s="204"/>
      <c r="U180" s="204"/>
      <c r="V180" s="204"/>
      <c r="W180" s="204"/>
    </row>
    <row r="181" spans="2:23" ht="12.75" customHeight="1">
      <c r="B181" s="204"/>
      <c r="C181" s="204"/>
      <c r="D181" s="204"/>
      <c r="E181" s="204"/>
      <c r="F181" s="204"/>
      <c r="G181" s="204"/>
      <c r="H181" s="204"/>
      <c r="I181" s="204"/>
      <c r="J181" s="204"/>
      <c r="K181" s="204"/>
      <c r="L181" s="204"/>
      <c r="M181" s="204"/>
      <c r="N181" s="204"/>
      <c r="O181" s="204"/>
      <c r="P181" s="204"/>
      <c r="Q181" s="204"/>
      <c r="R181" s="204"/>
      <c r="S181" s="204"/>
      <c r="T181" s="204"/>
      <c r="U181" s="204"/>
      <c r="V181" s="204"/>
      <c r="W181" s="204"/>
    </row>
    <row r="182" spans="2:23" ht="12.75" customHeight="1">
      <c r="B182" s="204"/>
      <c r="C182" s="204"/>
      <c r="D182" s="204"/>
      <c r="E182" s="204"/>
      <c r="F182" s="204"/>
      <c r="G182" s="204"/>
      <c r="H182" s="204"/>
      <c r="I182" s="204"/>
      <c r="J182" s="204"/>
      <c r="K182" s="204"/>
      <c r="L182" s="204"/>
      <c r="M182" s="204"/>
      <c r="N182" s="204"/>
      <c r="O182" s="204"/>
      <c r="P182" s="204"/>
      <c r="Q182" s="204"/>
      <c r="R182" s="204"/>
      <c r="S182" s="204"/>
      <c r="T182" s="204"/>
      <c r="U182" s="204"/>
      <c r="V182" s="204"/>
      <c r="W182" s="204"/>
    </row>
    <row r="183" spans="2:23" ht="12.75" customHeight="1">
      <c r="B183" s="204"/>
      <c r="C183" s="204"/>
      <c r="D183" s="204"/>
      <c r="E183" s="204"/>
      <c r="F183" s="204"/>
      <c r="G183" s="204"/>
      <c r="H183" s="204"/>
      <c r="I183" s="204"/>
      <c r="J183" s="204"/>
      <c r="K183" s="204"/>
      <c r="L183" s="204"/>
      <c r="M183" s="204"/>
      <c r="N183" s="204"/>
      <c r="O183" s="204"/>
      <c r="P183" s="204"/>
      <c r="Q183" s="204"/>
      <c r="R183" s="204"/>
      <c r="S183" s="204"/>
      <c r="T183" s="204"/>
      <c r="U183" s="204"/>
      <c r="V183" s="204"/>
      <c r="W183" s="204"/>
    </row>
    <row r="184" spans="2:23" ht="12.75" customHeight="1">
      <c r="B184" s="204"/>
      <c r="C184" s="204"/>
      <c r="D184" s="204"/>
      <c r="E184" s="204"/>
      <c r="F184" s="204"/>
      <c r="G184" s="204"/>
      <c r="H184" s="204"/>
      <c r="I184" s="204"/>
      <c r="J184" s="204"/>
      <c r="K184" s="204"/>
      <c r="L184" s="204"/>
      <c r="M184" s="204"/>
      <c r="N184" s="204"/>
      <c r="O184" s="204"/>
      <c r="P184" s="204"/>
      <c r="Q184" s="204"/>
      <c r="R184" s="204"/>
      <c r="S184" s="204"/>
      <c r="T184" s="204"/>
      <c r="U184" s="204"/>
      <c r="V184" s="204"/>
      <c r="W184" s="204"/>
    </row>
    <row r="185" spans="2:23" ht="12.75" customHeight="1">
      <c r="B185" s="204"/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  <c r="O185" s="204"/>
      <c r="P185" s="204"/>
      <c r="Q185" s="204"/>
      <c r="R185" s="204"/>
      <c r="S185" s="204"/>
      <c r="T185" s="204"/>
      <c r="U185" s="204"/>
      <c r="V185" s="204"/>
      <c r="W185" s="204"/>
    </row>
    <row r="186" spans="2:23" ht="12.75" customHeight="1">
      <c r="B186" s="204"/>
      <c r="C186" s="204"/>
      <c r="D186" s="204"/>
      <c r="E186" s="204"/>
      <c r="F186" s="204"/>
      <c r="G186" s="204"/>
      <c r="H186" s="204"/>
      <c r="I186" s="204"/>
      <c r="J186" s="204"/>
      <c r="K186" s="204"/>
      <c r="L186" s="204"/>
      <c r="M186" s="204"/>
      <c r="N186" s="204"/>
      <c r="O186" s="204"/>
      <c r="P186" s="204"/>
      <c r="Q186" s="204"/>
      <c r="R186" s="204"/>
      <c r="S186" s="204"/>
      <c r="T186" s="204"/>
      <c r="U186" s="204"/>
      <c r="V186" s="204"/>
      <c r="W186" s="204"/>
    </row>
    <row r="187" spans="2:23" ht="12.75" customHeight="1">
      <c r="B187" s="204"/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  <c r="O187" s="204"/>
      <c r="P187" s="204"/>
      <c r="Q187" s="204"/>
      <c r="R187" s="204"/>
      <c r="S187" s="204"/>
      <c r="T187" s="204"/>
      <c r="U187" s="204"/>
      <c r="V187" s="204"/>
      <c r="W187" s="204"/>
    </row>
    <row r="188" spans="2:23" ht="12.75" customHeight="1">
      <c r="B188" s="204"/>
      <c r="C188" s="204"/>
      <c r="D188" s="204"/>
      <c r="E188" s="204"/>
      <c r="F188" s="204"/>
      <c r="G188" s="204"/>
      <c r="H188" s="204"/>
      <c r="I188" s="204"/>
      <c r="J188" s="204"/>
      <c r="K188" s="204"/>
      <c r="L188" s="204"/>
      <c r="M188" s="204"/>
      <c r="N188" s="204"/>
      <c r="O188" s="204"/>
      <c r="P188" s="204"/>
      <c r="Q188" s="204"/>
      <c r="R188" s="204"/>
      <c r="S188" s="204"/>
      <c r="T188" s="204"/>
      <c r="U188" s="204"/>
      <c r="V188" s="204"/>
      <c r="W188" s="204"/>
    </row>
    <row r="189" spans="2:23" ht="12.75" customHeight="1">
      <c r="B189" s="204"/>
      <c r="C189" s="204"/>
      <c r="D189" s="204"/>
      <c r="E189" s="204"/>
      <c r="F189" s="204"/>
      <c r="G189" s="204"/>
      <c r="H189" s="204"/>
      <c r="I189" s="204"/>
      <c r="J189" s="204"/>
      <c r="K189" s="204"/>
      <c r="L189" s="204"/>
      <c r="M189" s="204"/>
      <c r="N189" s="204"/>
      <c r="O189" s="204"/>
      <c r="P189" s="204"/>
      <c r="Q189" s="204"/>
      <c r="R189" s="204"/>
      <c r="S189" s="204"/>
      <c r="T189" s="204"/>
      <c r="U189" s="204"/>
      <c r="V189" s="204"/>
      <c r="W189" s="204"/>
    </row>
    <row r="190" spans="2:23" ht="12.75" customHeight="1">
      <c r="B190" s="204"/>
      <c r="C190" s="204"/>
      <c r="D190" s="204"/>
      <c r="E190" s="204"/>
      <c r="F190" s="204"/>
      <c r="G190" s="204"/>
      <c r="H190" s="204"/>
      <c r="I190" s="204"/>
      <c r="J190" s="204"/>
      <c r="K190" s="204"/>
      <c r="L190" s="204"/>
      <c r="M190" s="204"/>
      <c r="N190" s="204"/>
      <c r="O190" s="204"/>
      <c r="P190" s="204"/>
      <c r="Q190" s="204"/>
      <c r="R190" s="204"/>
      <c r="S190" s="204"/>
      <c r="T190" s="204"/>
      <c r="U190" s="204"/>
      <c r="V190" s="204"/>
      <c r="W190" s="204"/>
    </row>
    <row r="191" spans="2:23" ht="12.75" customHeight="1">
      <c r="B191" s="204"/>
      <c r="C191" s="204"/>
      <c r="D191" s="204"/>
      <c r="E191" s="204"/>
      <c r="F191" s="204"/>
      <c r="G191" s="204"/>
      <c r="H191" s="204"/>
      <c r="I191" s="204"/>
      <c r="J191" s="204"/>
      <c r="K191" s="204"/>
      <c r="L191" s="204"/>
      <c r="M191" s="204"/>
      <c r="N191" s="204"/>
      <c r="O191" s="204"/>
      <c r="P191" s="204"/>
      <c r="Q191" s="204"/>
      <c r="R191" s="204"/>
      <c r="S191" s="204"/>
      <c r="T191" s="204"/>
      <c r="U191" s="204"/>
      <c r="V191" s="204"/>
      <c r="W191" s="204"/>
    </row>
    <row r="192" spans="2:23" ht="12.75" customHeight="1">
      <c r="B192" s="204"/>
      <c r="C192" s="204"/>
      <c r="D192" s="204"/>
      <c r="E192" s="204"/>
      <c r="F192" s="204"/>
      <c r="G192" s="204"/>
      <c r="H192" s="204"/>
      <c r="I192" s="204"/>
      <c r="J192" s="204"/>
      <c r="K192" s="204"/>
      <c r="L192" s="204"/>
      <c r="M192" s="204"/>
      <c r="N192" s="204"/>
      <c r="O192" s="204"/>
      <c r="P192" s="204"/>
      <c r="Q192" s="204"/>
      <c r="R192" s="204"/>
      <c r="S192" s="204"/>
      <c r="T192" s="204"/>
      <c r="U192" s="204"/>
      <c r="V192" s="204"/>
      <c r="W192" s="204"/>
    </row>
    <row r="193" spans="2:23" ht="12.75" customHeight="1">
      <c r="B193" s="204"/>
      <c r="C193" s="204"/>
      <c r="D193" s="204"/>
      <c r="E193" s="204"/>
      <c r="F193" s="204"/>
      <c r="G193" s="204"/>
      <c r="H193" s="204"/>
      <c r="I193" s="204"/>
      <c r="J193" s="204"/>
      <c r="K193" s="204"/>
      <c r="L193" s="204"/>
      <c r="M193" s="204"/>
      <c r="N193" s="204"/>
      <c r="O193" s="204"/>
      <c r="P193" s="204"/>
      <c r="Q193" s="204"/>
      <c r="R193" s="204"/>
      <c r="S193" s="204"/>
      <c r="T193" s="204"/>
      <c r="U193" s="204"/>
      <c r="V193" s="204"/>
      <c r="W193" s="204"/>
    </row>
    <row r="194" spans="2:23" ht="12.75" customHeight="1">
      <c r="B194" s="204"/>
      <c r="C194" s="204"/>
      <c r="D194" s="204"/>
      <c r="E194" s="204"/>
      <c r="F194" s="204"/>
      <c r="G194" s="204"/>
      <c r="H194" s="204"/>
      <c r="I194" s="204"/>
      <c r="J194" s="204"/>
      <c r="K194" s="204"/>
      <c r="L194" s="204"/>
      <c r="M194" s="204"/>
      <c r="N194" s="204"/>
      <c r="O194" s="204"/>
      <c r="P194" s="204"/>
      <c r="Q194" s="204"/>
      <c r="R194" s="204"/>
      <c r="S194" s="204"/>
      <c r="T194" s="204"/>
      <c r="U194" s="204"/>
      <c r="V194" s="204"/>
      <c r="W194" s="204"/>
    </row>
    <row r="195" spans="2:23" ht="12.75" customHeight="1">
      <c r="B195" s="204"/>
      <c r="C195" s="204"/>
      <c r="D195" s="204"/>
      <c r="E195" s="204"/>
      <c r="F195" s="204"/>
      <c r="G195" s="204"/>
      <c r="H195" s="204"/>
      <c r="I195" s="204"/>
      <c r="J195" s="204"/>
      <c r="K195" s="204"/>
      <c r="L195" s="204"/>
      <c r="M195" s="204"/>
      <c r="N195" s="204"/>
      <c r="O195" s="204"/>
      <c r="P195" s="204"/>
      <c r="Q195" s="204"/>
      <c r="R195" s="204"/>
      <c r="S195" s="204"/>
      <c r="T195" s="204"/>
      <c r="U195" s="204"/>
      <c r="V195" s="204"/>
      <c r="W195" s="204"/>
    </row>
    <row r="196" spans="2:23" ht="12.75" customHeight="1">
      <c r="B196" s="204"/>
      <c r="C196" s="204"/>
      <c r="D196" s="204"/>
      <c r="E196" s="204"/>
      <c r="F196" s="204"/>
      <c r="G196" s="204"/>
      <c r="H196" s="204"/>
      <c r="I196" s="204"/>
      <c r="J196" s="204"/>
      <c r="K196" s="204"/>
      <c r="L196" s="204"/>
      <c r="M196" s="204"/>
      <c r="N196" s="204"/>
      <c r="O196" s="204"/>
      <c r="P196" s="204"/>
      <c r="Q196" s="204"/>
      <c r="R196" s="204"/>
      <c r="S196" s="204"/>
      <c r="T196" s="204"/>
      <c r="U196" s="204"/>
      <c r="V196" s="204"/>
      <c r="W196" s="204"/>
    </row>
    <row r="197" spans="2:23" ht="12.75" customHeight="1">
      <c r="B197" s="204"/>
      <c r="C197" s="204"/>
      <c r="D197" s="204"/>
      <c r="E197" s="204"/>
      <c r="F197" s="204"/>
      <c r="G197" s="204"/>
      <c r="H197" s="204"/>
      <c r="I197" s="204"/>
      <c r="J197" s="204"/>
      <c r="K197" s="204"/>
      <c r="L197" s="204"/>
      <c r="M197" s="204"/>
      <c r="N197" s="204"/>
      <c r="O197" s="204"/>
      <c r="P197" s="204"/>
      <c r="Q197" s="204"/>
      <c r="R197" s="204"/>
      <c r="S197" s="204"/>
      <c r="T197" s="204"/>
      <c r="U197" s="204"/>
      <c r="V197" s="204"/>
      <c r="W197" s="204"/>
    </row>
    <row r="198" spans="2:23" ht="12.75" customHeight="1">
      <c r="B198" s="204"/>
      <c r="C198" s="204"/>
      <c r="D198" s="204"/>
      <c r="E198" s="204"/>
      <c r="F198" s="204"/>
      <c r="G198" s="204"/>
      <c r="H198" s="204"/>
      <c r="I198" s="204"/>
      <c r="J198" s="204"/>
      <c r="K198" s="204"/>
      <c r="L198" s="204"/>
      <c r="M198" s="204"/>
      <c r="N198" s="204"/>
      <c r="O198" s="204"/>
      <c r="P198" s="204"/>
      <c r="Q198" s="204"/>
      <c r="R198" s="204"/>
      <c r="S198" s="204"/>
      <c r="T198" s="204"/>
      <c r="U198" s="204"/>
      <c r="V198" s="204"/>
      <c r="W198" s="204"/>
    </row>
    <row r="199" spans="2:23" ht="12.75" customHeight="1">
      <c r="B199" s="204"/>
      <c r="C199" s="204"/>
      <c r="D199" s="204"/>
      <c r="E199" s="204"/>
      <c r="F199" s="204"/>
      <c r="G199" s="204"/>
      <c r="H199" s="204"/>
      <c r="I199" s="204"/>
      <c r="J199" s="204"/>
      <c r="K199" s="204"/>
      <c r="L199" s="204"/>
      <c r="M199" s="204"/>
      <c r="N199" s="204"/>
      <c r="O199" s="204"/>
      <c r="P199" s="204"/>
      <c r="Q199" s="204"/>
      <c r="R199" s="204"/>
      <c r="S199" s="204"/>
      <c r="T199" s="204"/>
      <c r="U199" s="204"/>
      <c r="V199" s="204"/>
      <c r="W199" s="204"/>
    </row>
    <row r="200" spans="2:23" ht="12.75" customHeight="1">
      <c r="B200" s="204"/>
      <c r="C200" s="204"/>
      <c r="D200" s="204"/>
      <c r="E200" s="204"/>
      <c r="F200" s="204"/>
      <c r="G200" s="204"/>
      <c r="H200" s="204"/>
      <c r="I200" s="204"/>
      <c r="J200" s="204"/>
      <c r="K200" s="204"/>
      <c r="L200" s="204"/>
      <c r="M200" s="204"/>
      <c r="N200" s="204"/>
      <c r="O200" s="204"/>
      <c r="P200" s="204"/>
      <c r="Q200" s="204"/>
      <c r="R200" s="204"/>
      <c r="S200" s="204"/>
      <c r="T200" s="204"/>
      <c r="U200" s="204"/>
      <c r="V200" s="204"/>
      <c r="W200" s="204"/>
    </row>
    <row r="201" spans="2:23" ht="12.75" customHeight="1">
      <c r="B201" s="204"/>
      <c r="C201" s="204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  <c r="O201" s="204"/>
      <c r="P201" s="204"/>
      <c r="Q201" s="204"/>
      <c r="R201" s="204"/>
      <c r="S201" s="204"/>
      <c r="T201" s="204"/>
      <c r="U201" s="204"/>
      <c r="V201" s="204"/>
      <c r="W201" s="204"/>
    </row>
    <row r="202" spans="2:23" ht="12.75" customHeight="1">
      <c r="B202" s="204"/>
      <c r="C202" s="204"/>
      <c r="D202" s="204"/>
      <c r="E202" s="204"/>
      <c r="F202" s="204"/>
      <c r="G202" s="204"/>
      <c r="H202" s="204"/>
      <c r="I202" s="204"/>
      <c r="J202" s="204"/>
      <c r="K202" s="204"/>
      <c r="L202" s="204"/>
      <c r="M202" s="204"/>
      <c r="N202" s="204"/>
      <c r="O202" s="204"/>
      <c r="P202" s="204"/>
      <c r="Q202" s="204"/>
      <c r="R202" s="204"/>
      <c r="S202" s="204"/>
      <c r="T202" s="204"/>
      <c r="U202" s="204"/>
      <c r="V202" s="204"/>
      <c r="W202" s="204"/>
    </row>
    <row r="203" spans="2:23" ht="12.75" customHeight="1">
      <c r="B203" s="204"/>
      <c r="C203" s="204"/>
      <c r="D203" s="204"/>
      <c r="E203" s="204"/>
      <c r="F203" s="204"/>
      <c r="G203" s="204"/>
      <c r="H203" s="204"/>
      <c r="I203" s="204"/>
      <c r="J203" s="204"/>
      <c r="K203" s="204"/>
      <c r="L203" s="204"/>
      <c r="M203" s="204"/>
      <c r="N203" s="204"/>
      <c r="O203" s="204"/>
      <c r="P203" s="204"/>
      <c r="Q203" s="204"/>
      <c r="R203" s="204"/>
      <c r="S203" s="204"/>
      <c r="T203" s="204"/>
      <c r="U203" s="204"/>
      <c r="V203" s="204"/>
      <c r="W203" s="204"/>
    </row>
    <row r="204" spans="2:23" ht="12.75" customHeight="1">
      <c r="B204" s="204"/>
      <c r="C204" s="204"/>
      <c r="D204" s="204"/>
      <c r="E204" s="204"/>
      <c r="F204" s="204"/>
      <c r="G204" s="204"/>
      <c r="H204" s="204"/>
      <c r="I204" s="204"/>
      <c r="J204" s="204"/>
      <c r="K204" s="204"/>
      <c r="L204" s="204"/>
      <c r="M204" s="204"/>
      <c r="N204" s="204"/>
      <c r="O204" s="204"/>
      <c r="P204" s="204"/>
      <c r="Q204" s="204"/>
      <c r="R204" s="204"/>
      <c r="S204" s="204"/>
      <c r="T204" s="204"/>
      <c r="U204" s="204"/>
      <c r="V204" s="204"/>
      <c r="W204" s="204"/>
    </row>
    <row r="205" spans="2:23" ht="12.75" customHeight="1">
      <c r="B205" s="204"/>
      <c r="C205" s="204"/>
      <c r="D205" s="204"/>
      <c r="E205" s="204"/>
      <c r="F205" s="204"/>
      <c r="G205" s="204"/>
      <c r="H205" s="204"/>
      <c r="I205" s="204"/>
      <c r="J205" s="204"/>
      <c r="K205" s="204"/>
      <c r="L205" s="204"/>
      <c r="M205" s="204"/>
      <c r="N205" s="204"/>
      <c r="O205" s="204"/>
      <c r="P205" s="204"/>
      <c r="Q205" s="204"/>
      <c r="R205" s="204"/>
      <c r="S205" s="204"/>
      <c r="T205" s="204"/>
      <c r="U205" s="204"/>
      <c r="V205" s="204"/>
      <c r="W205" s="204"/>
    </row>
    <row r="206" spans="2:23" ht="12.75" customHeight="1">
      <c r="B206" s="204"/>
      <c r="C206" s="204"/>
      <c r="D206" s="204"/>
      <c r="E206" s="204"/>
      <c r="F206" s="204"/>
      <c r="G206" s="204"/>
      <c r="H206" s="204"/>
      <c r="I206" s="204"/>
      <c r="J206" s="204"/>
      <c r="K206" s="204"/>
      <c r="L206" s="204"/>
      <c r="M206" s="204"/>
      <c r="N206" s="204"/>
      <c r="O206" s="204"/>
      <c r="P206" s="204"/>
      <c r="Q206" s="204"/>
      <c r="R206" s="204"/>
      <c r="S206" s="204"/>
      <c r="T206" s="204"/>
      <c r="U206" s="204"/>
      <c r="V206" s="204"/>
      <c r="W206" s="204"/>
    </row>
    <row r="207" spans="2:23" ht="12.75" customHeight="1">
      <c r="B207" s="204"/>
      <c r="C207" s="204"/>
      <c r="D207" s="204"/>
      <c r="E207" s="204"/>
      <c r="F207" s="204"/>
      <c r="G207" s="204"/>
      <c r="H207" s="204"/>
      <c r="I207" s="204"/>
      <c r="J207" s="204"/>
      <c r="K207" s="204"/>
      <c r="L207" s="204"/>
      <c r="M207" s="204"/>
      <c r="N207" s="204"/>
      <c r="O207" s="204"/>
      <c r="P207" s="204"/>
      <c r="Q207" s="204"/>
      <c r="R207" s="204"/>
      <c r="S207" s="204"/>
      <c r="T207" s="204"/>
      <c r="U207" s="204"/>
      <c r="V207" s="204"/>
      <c r="W207" s="204"/>
    </row>
    <row r="208" spans="2:23" ht="12.75" customHeight="1">
      <c r="B208" s="204"/>
      <c r="C208" s="204"/>
      <c r="D208" s="204"/>
      <c r="E208" s="204"/>
      <c r="F208" s="204"/>
      <c r="G208" s="204"/>
      <c r="H208" s="204"/>
      <c r="I208" s="204"/>
      <c r="J208" s="204"/>
      <c r="K208" s="204"/>
      <c r="L208" s="204"/>
      <c r="M208" s="204"/>
      <c r="N208" s="204"/>
      <c r="O208" s="204"/>
      <c r="P208" s="204"/>
      <c r="Q208" s="204"/>
      <c r="R208" s="204"/>
      <c r="S208" s="204"/>
      <c r="T208" s="204"/>
      <c r="U208" s="204"/>
      <c r="V208" s="204"/>
      <c r="W208" s="204"/>
    </row>
    <row r="209" spans="2:23" ht="12.75" customHeight="1">
      <c r="B209" s="204"/>
      <c r="C209" s="204"/>
      <c r="D209" s="204"/>
      <c r="E209" s="204"/>
      <c r="F209" s="204"/>
      <c r="G209" s="204"/>
      <c r="H209" s="204"/>
      <c r="I209" s="204"/>
      <c r="J209" s="204"/>
      <c r="K209" s="204"/>
      <c r="L209" s="204"/>
      <c r="M209" s="204"/>
      <c r="N209" s="204"/>
      <c r="O209" s="204"/>
      <c r="P209" s="204"/>
      <c r="Q209" s="204"/>
      <c r="R209" s="204"/>
      <c r="S209" s="204"/>
      <c r="T209" s="204"/>
      <c r="U209" s="204"/>
      <c r="V209" s="204"/>
      <c r="W209" s="204"/>
    </row>
    <row r="210" spans="2:23" ht="12.75" customHeight="1">
      <c r="B210" s="204"/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  <c r="O210" s="204"/>
      <c r="P210" s="204"/>
      <c r="Q210" s="204"/>
      <c r="R210" s="204"/>
      <c r="S210" s="204"/>
      <c r="T210" s="204"/>
      <c r="U210" s="204"/>
      <c r="V210" s="204"/>
      <c r="W210" s="204"/>
    </row>
    <row r="211" spans="2:23" ht="12.75" customHeight="1">
      <c r="B211" s="204"/>
      <c r="C211" s="204"/>
      <c r="D211" s="204"/>
      <c r="E211" s="204"/>
      <c r="F211" s="204"/>
      <c r="G211" s="204"/>
      <c r="H211" s="204"/>
      <c r="I211" s="204"/>
      <c r="J211" s="204"/>
      <c r="K211" s="204"/>
      <c r="L211" s="204"/>
      <c r="M211" s="204"/>
      <c r="N211" s="204"/>
      <c r="O211" s="204"/>
      <c r="P211" s="204"/>
      <c r="Q211" s="204"/>
      <c r="R211" s="204"/>
      <c r="S211" s="204"/>
      <c r="T211" s="204"/>
      <c r="U211" s="204"/>
      <c r="V211" s="204"/>
      <c r="W211" s="204"/>
    </row>
    <row r="212" spans="2:23" ht="12.75" customHeight="1">
      <c r="B212" s="204"/>
      <c r="C212" s="204"/>
      <c r="D212" s="204"/>
      <c r="E212" s="204"/>
      <c r="F212" s="204"/>
      <c r="G212" s="204"/>
      <c r="H212" s="204"/>
      <c r="I212" s="204"/>
      <c r="J212" s="204"/>
      <c r="K212" s="204"/>
      <c r="L212" s="204"/>
      <c r="M212" s="204"/>
      <c r="N212" s="204"/>
      <c r="O212" s="204"/>
      <c r="P212" s="204"/>
      <c r="Q212" s="204"/>
      <c r="R212" s="204"/>
      <c r="S212" s="204"/>
      <c r="T212" s="204"/>
      <c r="U212" s="204"/>
      <c r="V212" s="204"/>
      <c r="W212" s="204"/>
    </row>
    <row r="213" spans="2:23" ht="12.75" customHeight="1">
      <c r="B213" s="204"/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  <c r="O213" s="204"/>
      <c r="P213" s="204"/>
      <c r="Q213" s="204"/>
      <c r="R213" s="204"/>
      <c r="S213" s="204"/>
      <c r="T213" s="204"/>
      <c r="U213" s="204"/>
      <c r="V213" s="204"/>
      <c r="W213" s="204"/>
    </row>
    <row r="214" spans="2:23" ht="12.75" customHeight="1">
      <c r="B214" s="204"/>
      <c r="C214" s="204"/>
      <c r="D214" s="204"/>
      <c r="E214" s="204"/>
      <c r="F214" s="204"/>
      <c r="G214" s="204"/>
      <c r="H214" s="204"/>
      <c r="I214" s="204"/>
      <c r="J214" s="204"/>
      <c r="K214" s="204"/>
      <c r="L214" s="204"/>
      <c r="M214" s="204"/>
      <c r="N214" s="204"/>
      <c r="O214" s="204"/>
      <c r="P214" s="204"/>
      <c r="Q214" s="204"/>
      <c r="R214" s="204"/>
      <c r="S214" s="204"/>
      <c r="T214" s="204"/>
      <c r="U214" s="204"/>
      <c r="V214" s="204"/>
      <c r="W214" s="204"/>
    </row>
    <row r="215" spans="2:23" ht="12.75" customHeight="1">
      <c r="B215" s="204"/>
      <c r="C215" s="204"/>
      <c r="D215" s="204"/>
      <c r="E215" s="204"/>
      <c r="F215" s="204"/>
      <c r="G215" s="204"/>
      <c r="H215" s="204"/>
      <c r="I215" s="204"/>
      <c r="J215" s="204"/>
      <c r="K215" s="204"/>
      <c r="L215" s="204"/>
      <c r="M215" s="204"/>
      <c r="N215" s="204"/>
      <c r="O215" s="204"/>
      <c r="P215" s="204"/>
      <c r="Q215" s="204"/>
      <c r="R215" s="204"/>
      <c r="S215" s="204"/>
      <c r="T215" s="204"/>
      <c r="U215" s="204"/>
      <c r="V215" s="204"/>
      <c r="W215" s="204"/>
    </row>
    <row r="216" spans="2:23" ht="12.75" customHeight="1">
      <c r="B216" s="204"/>
      <c r="C216" s="204"/>
      <c r="D216" s="204"/>
      <c r="E216" s="204"/>
      <c r="F216" s="204"/>
      <c r="G216" s="204"/>
      <c r="H216" s="204"/>
      <c r="I216" s="204"/>
      <c r="J216" s="204"/>
      <c r="K216" s="204"/>
      <c r="L216" s="204"/>
      <c r="M216" s="204"/>
      <c r="N216" s="204"/>
      <c r="O216" s="204"/>
      <c r="P216" s="204"/>
      <c r="Q216" s="204"/>
      <c r="R216" s="204"/>
      <c r="S216" s="204"/>
      <c r="T216" s="204"/>
      <c r="U216" s="204"/>
      <c r="V216" s="204"/>
      <c r="W216" s="204"/>
    </row>
    <row r="217" spans="2:23" ht="12.75" customHeight="1">
      <c r="B217" s="204"/>
      <c r="C217" s="204"/>
      <c r="D217" s="204"/>
      <c r="E217" s="204"/>
      <c r="F217" s="204"/>
      <c r="G217" s="204"/>
      <c r="H217" s="204"/>
      <c r="I217" s="204"/>
      <c r="J217" s="204"/>
      <c r="K217" s="204"/>
      <c r="L217" s="204"/>
      <c r="M217" s="204"/>
      <c r="N217" s="204"/>
      <c r="O217" s="204"/>
      <c r="P217" s="204"/>
      <c r="Q217" s="204"/>
      <c r="R217" s="204"/>
      <c r="S217" s="204"/>
      <c r="T217" s="204"/>
      <c r="U217" s="204"/>
      <c r="V217" s="204"/>
      <c r="W217" s="204"/>
    </row>
    <row r="218" spans="2:23" ht="12.75" customHeight="1">
      <c r="B218" s="204"/>
      <c r="C218" s="204"/>
      <c r="D218" s="204"/>
      <c r="E218" s="204"/>
      <c r="F218" s="204"/>
      <c r="G218" s="204"/>
      <c r="H218" s="204"/>
      <c r="I218" s="204"/>
      <c r="J218" s="204"/>
      <c r="K218" s="204"/>
      <c r="L218" s="204"/>
      <c r="M218" s="204"/>
      <c r="N218" s="204"/>
      <c r="O218" s="204"/>
      <c r="P218" s="204"/>
      <c r="Q218" s="204"/>
      <c r="R218" s="204"/>
      <c r="S218" s="204"/>
      <c r="T218" s="204"/>
      <c r="U218" s="204"/>
      <c r="V218" s="204"/>
      <c r="W218" s="204"/>
    </row>
    <row r="219" spans="2:23" ht="12.75" customHeight="1">
      <c r="B219" s="204"/>
      <c r="C219" s="204"/>
      <c r="D219" s="204"/>
      <c r="E219" s="204"/>
      <c r="F219" s="204"/>
      <c r="G219" s="204"/>
      <c r="H219" s="204"/>
      <c r="I219" s="204"/>
      <c r="J219" s="204"/>
      <c r="K219" s="204"/>
      <c r="L219" s="204"/>
      <c r="M219" s="204"/>
      <c r="N219" s="204"/>
      <c r="O219" s="204"/>
      <c r="P219" s="204"/>
      <c r="Q219" s="204"/>
      <c r="R219" s="204"/>
      <c r="S219" s="204"/>
      <c r="T219" s="204"/>
      <c r="U219" s="204"/>
      <c r="V219" s="204"/>
      <c r="W219" s="204"/>
    </row>
    <row r="220" spans="2:23" ht="12.75" customHeight="1">
      <c r="B220" s="204"/>
      <c r="C220" s="204"/>
      <c r="D220" s="204"/>
      <c r="E220" s="204"/>
      <c r="F220" s="204"/>
      <c r="G220" s="204"/>
      <c r="H220" s="204"/>
      <c r="I220" s="204"/>
      <c r="J220" s="204"/>
      <c r="K220" s="204"/>
      <c r="L220" s="204"/>
      <c r="M220" s="204"/>
      <c r="N220" s="204"/>
      <c r="O220" s="204"/>
      <c r="P220" s="204"/>
      <c r="Q220" s="204"/>
      <c r="R220" s="204"/>
      <c r="S220" s="204"/>
      <c r="T220" s="204"/>
      <c r="U220" s="204"/>
      <c r="V220" s="204"/>
      <c r="W220" s="204"/>
    </row>
    <row r="221" spans="2:23" ht="12.75" customHeight="1">
      <c r="B221" s="204"/>
      <c r="C221" s="204"/>
      <c r="D221" s="204"/>
      <c r="E221" s="204"/>
      <c r="F221" s="204"/>
      <c r="G221" s="204"/>
      <c r="H221" s="204"/>
      <c r="I221" s="204"/>
      <c r="J221" s="204"/>
      <c r="K221" s="204"/>
      <c r="L221" s="204"/>
      <c r="M221" s="204"/>
      <c r="N221" s="204"/>
      <c r="O221" s="204"/>
      <c r="P221" s="204"/>
      <c r="Q221" s="204"/>
      <c r="R221" s="204"/>
      <c r="S221" s="204"/>
      <c r="T221" s="204"/>
      <c r="U221" s="204"/>
      <c r="V221" s="204"/>
      <c r="W221" s="204"/>
    </row>
    <row r="222" spans="2:23" ht="12.75" customHeight="1">
      <c r="B222" s="204"/>
      <c r="C222" s="204"/>
      <c r="D222" s="204"/>
      <c r="E222" s="204"/>
      <c r="F222" s="204"/>
      <c r="G222" s="204"/>
      <c r="H222" s="204"/>
      <c r="I222" s="204"/>
      <c r="J222" s="204"/>
      <c r="K222" s="204"/>
      <c r="L222" s="204"/>
      <c r="M222" s="204"/>
      <c r="N222" s="204"/>
      <c r="O222" s="204"/>
      <c r="P222" s="204"/>
      <c r="Q222" s="204"/>
      <c r="R222" s="204"/>
      <c r="S222" s="204"/>
      <c r="T222" s="204"/>
      <c r="U222" s="204"/>
      <c r="V222" s="204"/>
      <c r="W222" s="204"/>
    </row>
    <row r="223" spans="2:23" ht="12.75" customHeight="1">
      <c r="B223" s="204"/>
      <c r="C223" s="204"/>
      <c r="D223" s="204"/>
      <c r="E223" s="204"/>
      <c r="F223" s="204"/>
      <c r="G223" s="204"/>
      <c r="H223" s="204"/>
      <c r="I223" s="204"/>
      <c r="J223" s="204"/>
      <c r="K223" s="204"/>
      <c r="L223" s="204"/>
      <c r="M223" s="204"/>
      <c r="N223" s="204"/>
      <c r="O223" s="204"/>
      <c r="P223" s="204"/>
      <c r="Q223" s="204"/>
      <c r="R223" s="204"/>
      <c r="S223" s="204"/>
      <c r="T223" s="204"/>
      <c r="U223" s="204"/>
      <c r="V223" s="204"/>
      <c r="W223" s="204"/>
    </row>
    <row r="224" spans="2:23" ht="12.75" customHeight="1">
      <c r="B224" s="204"/>
      <c r="C224" s="204"/>
      <c r="D224" s="204"/>
      <c r="E224" s="204"/>
      <c r="F224" s="204"/>
      <c r="G224" s="204"/>
      <c r="H224" s="204"/>
      <c r="I224" s="204"/>
      <c r="J224" s="204"/>
      <c r="K224" s="204"/>
      <c r="L224" s="204"/>
      <c r="M224" s="204"/>
      <c r="N224" s="204"/>
      <c r="O224" s="204"/>
      <c r="P224" s="204"/>
      <c r="Q224" s="204"/>
      <c r="R224" s="204"/>
      <c r="S224" s="204"/>
      <c r="T224" s="204"/>
      <c r="U224" s="204"/>
      <c r="V224" s="204"/>
      <c r="W224" s="204"/>
    </row>
    <row r="225" spans="2:23" ht="12.75" customHeight="1">
      <c r="B225" s="204"/>
      <c r="C225" s="204"/>
      <c r="D225" s="204"/>
      <c r="E225" s="204"/>
      <c r="F225" s="204"/>
      <c r="G225" s="204"/>
      <c r="H225" s="204"/>
      <c r="I225" s="204"/>
      <c r="J225" s="204"/>
      <c r="K225" s="204"/>
      <c r="L225" s="204"/>
      <c r="M225" s="204"/>
      <c r="N225" s="204"/>
      <c r="O225" s="204"/>
      <c r="P225" s="204"/>
      <c r="Q225" s="204"/>
      <c r="R225" s="204"/>
      <c r="S225" s="204"/>
      <c r="T225" s="204"/>
      <c r="U225" s="204"/>
      <c r="V225" s="204"/>
      <c r="W225" s="204"/>
    </row>
    <row r="226" spans="2:23" ht="12.75" customHeight="1">
      <c r="B226" s="204"/>
      <c r="C226" s="204"/>
      <c r="D226" s="204"/>
      <c r="E226" s="204"/>
      <c r="F226" s="204"/>
      <c r="G226" s="204"/>
      <c r="H226" s="204"/>
      <c r="I226" s="204"/>
      <c r="J226" s="204"/>
      <c r="K226" s="204"/>
      <c r="L226" s="204"/>
      <c r="M226" s="204"/>
      <c r="N226" s="204"/>
      <c r="O226" s="204"/>
      <c r="P226" s="204"/>
      <c r="Q226" s="204"/>
      <c r="R226" s="204"/>
      <c r="S226" s="204"/>
      <c r="T226" s="204"/>
      <c r="U226" s="204"/>
      <c r="V226" s="204"/>
      <c r="W226" s="204"/>
    </row>
    <row r="227" spans="2:23" ht="12.75" customHeight="1">
      <c r="B227" s="204"/>
      <c r="C227" s="204"/>
      <c r="D227" s="204"/>
      <c r="E227" s="204"/>
      <c r="F227" s="204"/>
      <c r="G227" s="204"/>
      <c r="H227" s="204"/>
      <c r="I227" s="204"/>
      <c r="J227" s="204"/>
      <c r="K227" s="204"/>
      <c r="L227" s="204"/>
      <c r="M227" s="204"/>
      <c r="N227" s="204"/>
      <c r="O227" s="204"/>
      <c r="P227" s="204"/>
      <c r="Q227" s="204"/>
      <c r="R227" s="204"/>
      <c r="S227" s="204"/>
      <c r="T227" s="204"/>
      <c r="U227" s="204"/>
      <c r="V227" s="204"/>
      <c r="W227" s="204"/>
    </row>
    <row r="228" spans="2:23" ht="12.75" customHeight="1">
      <c r="B228" s="204"/>
      <c r="C228" s="204"/>
      <c r="D228" s="204"/>
      <c r="E228" s="204"/>
      <c r="F228" s="204"/>
      <c r="G228" s="204"/>
      <c r="H228" s="204"/>
      <c r="I228" s="204"/>
      <c r="J228" s="204"/>
      <c r="K228" s="204"/>
      <c r="L228" s="204"/>
      <c r="M228" s="204"/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</row>
    <row r="229" spans="2:23" ht="12.75" customHeight="1">
      <c r="B229" s="204"/>
      <c r="C229" s="204"/>
      <c r="D229" s="204"/>
      <c r="E229" s="204"/>
      <c r="F229" s="204"/>
      <c r="G229" s="204"/>
      <c r="H229" s="204"/>
      <c r="I229" s="204"/>
      <c r="J229" s="204"/>
      <c r="K229" s="204"/>
      <c r="L229" s="204"/>
      <c r="M229" s="204"/>
      <c r="N229" s="204"/>
      <c r="O229" s="204"/>
      <c r="P229" s="204"/>
      <c r="Q229" s="204"/>
      <c r="R229" s="204"/>
      <c r="S229" s="204"/>
      <c r="T229" s="204"/>
      <c r="U229" s="204"/>
      <c r="V229" s="204"/>
      <c r="W229" s="204"/>
    </row>
    <row r="230" spans="2:23" ht="12.75" customHeight="1">
      <c r="B230" s="204"/>
      <c r="C230" s="204"/>
      <c r="D230" s="204"/>
      <c r="E230" s="204"/>
      <c r="F230" s="204"/>
      <c r="G230" s="204"/>
      <c r="H230" s="204"/>
      <c r="I230" s="204"/>
      <c r="J230" s="204"/>
      <c r="K230" s="204"/>
      <c r="L230" s="204"/>
      <c r="M230" s="204"/>
      <c r="N230" s="204"/>
      <c r="O230" s="204"/>
      <c r="P230" s="204"/>
      <c r="Q230" s="204"/>
      <c r="R230" s="204"/>
      <c r="S230" s="204"/>
      <c r="T230" s="204"/>
      <c r="U230" s="204"/>
      <c r="V230" s="204"/>
      <c r="W230" s="204"/>
    </row>
    <row r="231" spans="2:23" ht="12.75" customHeight="1">
      <c r="B231" s="204"/>
      <c r="C231" s="204"/>
      <c r="D231" s="204"/>
      <c r="E231" s="204"/>
      <c r="F231" s="204"/>
      <c r="G231" s="204"/>
      <c r="H231" s="204"/>
      <c r="I231" s="204"/>
      <c r="J231" s="204"/>
      <c r="K231" s="204"/>
      <c r="L231" s="204"/>
      <c r="M231" s="204"/>
      <c r="N231" s="204"/>
      <c r="O231" s="204"/>
      <c r="P231" s="204"/>
      <c r="Q231" s="204"/>
      <c r="R231" s="204"/>
      <c r="S231" s="204"/>
      <c r="T231" s="204"/>
      <c r="U231" s="204"/>
      <c r="V231" s="204"/>
      <c r="W231" s="204"/>
    </row>
    <row r="232" spans="2:23" ht="12.75" customHeight="1">
      <c r="B232" s="204"/>
      <c r="C232" s="204"/>
      <c r="D232" s="204"/>
      <c r="E232" s="204"/>
      <c r="F232" s="204"/>
      <c r="G232" s="204"/>
      <c r="H232" s="204"/>
      <c r="I232" s="204"/>
      <c r="J232" s="204"/>
      <c r="K232" s="204"/>
      <c r="L232" s="204"/>
      <c r="M232" s="204"/>
      <c r="N232" s="204"/>
      <c r="O232" s="204"/>
      <c r="P232" s="204"/>
      <c r="Q232" s="204"/>
      <c r="R232" s="204"/>
      <c r="S232" s="204"/>
      <c r="T232" s="204"/>
      <c r="U232" s="204"/>
      <c r="V232" s="204"/>
      <c r="W232" s="204"/>
    </row>
    <row r="233" spans="2:23" ht="12.75" customHeight="1">
      <c r="B233" s="204"/>
      <c r="C233" s="204"/>
      <c r="D233" s="204"/>
      <c r="E233" s="204"/>
      <c r="F233" s="204"/>
      <c r="G233" s="204"/>
      <c r="H233" s="204"/>
      <c r="I233" s="204"/>
      <c r="J233" s="204"/>
      <c r="K233" s="204"/>
      <c r="L233" s="204"/>
      <c r="M233" s="204"/>
      <c r="N233" s="204"/>
      <c r="O233" s="204"/>
      <c r="P233" s="204"/>
      <c r="Q233" s="204"/>
      <c r="R233" s="204"/>
      <c r="S233" s="204"/>
      <c r="T233" s="204"/>
      <c r="U233" s="204"/>
      <c r="V233" s="204"/>
      <c r="W233" s="204"/>
    </row>
    <row r="234" spans="2:23" ht="12.75" customHeight="1">
      <c r="B234" s="204"/>
      <c r="C234" s="204"/>
      <c r="D234" s="204"/>
      <c r="E234" s="204"/>
      <c r="F234" s="204"/>
      <c r="G234" s="204"/>
      <c r="H234" s="204"/>
      <c r="I234" s="204"/>
      <c r="J234" s="204"/>
      <c r="K234" s="204"/>
      <c r="L234" s="204"/>
      <c r="M234" s="204"/>
      <c r="N234" s="204"/>
      <c r="O234" s="204"/>
      <c r="P234" s="204"/>
      <c r="Q234" s="204"/>
      <c r="R234" s="204"/>
      <c r="S234" s="204"/>
      <c r="T234" s="204"/>
      <c r="U234" s="204"/>
      <c r="V234" s="204"/>
      <c r="W234" s="204"/>
    </row>
    <row r="235" spans="2:23" ht="12.75" customHeight="1">
      <c r="B235" s="204"/>
      <c r="C235" s="204"/>
      <c r="D235" s="204"/>
      <c r="E235" s="204"/>
      <c r="F235" s="204"/>
      <c r="G235" s="204"/>
      <c r="H235" s="204"/>
      <c r="I235" s="204"/>
      <c r="J235" s="204"/>
      <c r="K235" s="204"/>
      <c r="L235" s="204"/>
      <c r="M235" s="204"/>
      <c r="N235" s="204"/>
      <c r="O235" s="204"/>
      <c r="P235" s="204"/>
      <c r="Q235" s="204"/>
      <c r="R235" s="204"/>
      <c r="S235" s="204"/>
      <c r="T235" s="204"/>
      <c r="U235" s="204"/>
      <c r="V235" s="204"/>
      <c r="W235" s="204"/>
    </row>
    <row r="236" spans="2:23" ht="12.75" customHeight="1">
      <c r="B236" s="204"/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  <c r="O236" s="204"/>
      <c r="P236" s="204"/>
      <c r="Q236" s="204"/>
      <c r="R236" s="204"/>
      <c r="S236" s="204"/>
      <c r="T236" s="204"/>
      <c r="U236" s="204"/>
      <c r="V236" s="204"/>
      <c r="W236" s="204"/>
    </row>
    <row r="237" spans="2:23" ht="12.75" customHeight="1">
      <c r="B237" s="204"/>
      <c r="C237" s="204"/>
      <c r="D237" s="204"/>
      <c r="E237" s="204"/>
      <c r="F237" s="204"/>
      <c r="G237" s="204"/>
      <c r="H237" s="204"/>
      <c r="I237" s="204"/>
      <c r="J237" s="204"/>
      <c r="K237" s="204"/>
      <c r="L237" s="204"/>
      <c r="M237" s="204"/>
      <c r="N237" s="204"/>
      <c r="O237" s="204"/>
      <c r="P237" s="204"/>
      <c r="Q237" s="204"/>
      <c r="R237" s="204"/>
      <c r="S237" s="204"/>
      <c r="T237" s="204"/>
      <c r="U237" s="204"/>
      <c r="V237" s="204"/>
      <c r="W237" s="204"/>
    </row>
    <row r="238" spans="2:23" ht="12.75" customHeight="1">
      <c r="B238" s="204"/>
      <c r="C238" s="204"/>
      <c r="D238" s="204"/>
      <c r="E238" s="204"/>
      <c r="F238" s="204"/>
      <c r="G238" s="204"/>
      <c r="H238" s="204"/>
      <c r="I238" s="204"/>
      <c r="J238" s="204"/>
      <c r="K238" s="204"/>
      <c r="L238" s="204"/>
      <c r="M238" s="204"/>
      <c r="N238" s="204"/>
      <c r="O238" s="204"/>
      <c r="P238" s="204"/>
      <c r="Q238" s="204"/>
      <c r="R238" s="204"/>
      <c r="S238" s="204"/>
      <c r="T238" s="204"/>
      <c r="U238" s="204"/>
      <c r="V238" s="204"/>
      <c r="W238" s="204"/>
    </row>
    <row r="239" spans="2:23" ht="12.75" customHeight="1">
      <c r="B239" s="204"/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  <c r="O239" s="204"/>
      <c r="P239" s="204"/>
      <c r="Q239" s="204"/>
      <c r="R239" s="204"/>
      <c r="S239" s="204"/>
      <c r="T239" s="204"/>
      <c r="U239" s="204"/>
      <c r="V239" s="204"/>
      <c r="W239" s="204"/>
    </row>
    <row r="240" spans="2:23" ht="12.75" customHeight="1">
      <c r="B240" s="204"/>
      <c r="C240" s="204"/>
      <c r="D240" s="204"/>
      <c r="E240" s="204"/>
      <c r="F240" s="204"/>
      <c r="G240" s="204"/>
      <c r="H240" s="204"/>
      <c r="I240" s="204"/>
      <c r="J240" s="204"/>
      <c r="K240" s="204"/>
      <c r="L240" s="204"/>
      <c r="M240" s="204"/>
      <c r="N240" s="204"/>
      <c r="O240" s="204"/>
      <c r="P240" s="204"/>
      <c r="Q240" s="204"/>
      <c r="R240" s="204"/>
      <c r="S240" s="204"/>
      <c r="T240" s="204"/>
      <c r="U240" s="204"/>
      <c r="V240" s="204"/>
      <c r="W240" s="204"/>
    </row>
    <row r="241" spans="2:23" ht="12.75" customHeight="1">
      <c r="B241" s="204"/>
      <c r="C241" s="204"/>
      <c r="D241" s="204"/>
      <c r="E241" s="204"/>
      <c r="F241" s="204"/>
      <c r="G241" s="204"/>
      <c r="H241" s="204"/>
      <c r="I241" s="204"/>
      <c r="J241" s="204"/>
      <c r="K241" s="204"/>
      <c r="L241" s="204"/>
      <c r="M241" s="204"/>
      <c r="N241" s="204"/>
      <c r="O241" s="204"/>
      <c r="P241" s="204"/>
      <c r="Q241" s="204"/>
      <c r="R241" s="204"/>
      <c r="S241" s="204"/>
      <c r="T241" s="204"/>
      <c r="U241" s="204"/>
      <c r="V241" s="204"/>
      <c r="W241" s="204"/>
    </row>
    <row r="242" spans="2:23" ht="12.75" customHeight="1">
      <c r="B242" s="204"/>
      <c r="C242" s="204"/>
      <c r="D242" s="204"/>
      <c r="E242" s="204"/>
      <c r="F242" s="204"/>
      <c r="G242" s="204"/>
      <c r="H242" s="204"/>
      <c r="I242" s="204"/>
      <c r="J242" s="204"/>
      <c r="K242" s="204"/>
      <c r="L242" s="204"/>
      <c r="M242" s="204"/>
      <c r="N242" s="204"/>
      <c r="O242" s="204"/>
      <c r="P242" s="204"/>
      <c r="Q242" s="204"/>
      <c r="R242" s="204"/>
      <c r="S242" s="204"/>
      <c r="T242" s="204"/>
      <c r="U242" s="204"/>
      <c r="V242" s="204"/>
      <c r="W242" s="204"/>
    </row>
    <row r="243" spans="2:23" ht="12.75" customHeight="1">
      <c r="B243" s="204"/>
      <c r="C243" s="204"/>
      <c r="D243" s="204"/>
      <c r="E243" s="204"/>
      <c r="F243" s="204"/>
      <c r="G243" s="204"/>
      <c r="H243" s="204"/>
      <c r="I243" s="204"/>
      <c r="J243" s="204"/>
      <c r="K243" s="204"/>
      <c r="L243" s="204"/>
      <c r="M243" s="204"/>
      <c r="N243" s="204"/>
      <c r="O243" s="204"/>
      <c r="P243" s="204"/>
      <c r="Q243" s="204"/>
      <c r="R243" s="204"/>
      <c r="S243" s="204"/>
      <c r="T243" s="204"/>
      <c r="U243" s="204"/>
      <c r="V243" s="204"/>
      <c r="W243" s="204"/>
    </row>
    <row r="244" spans="2:23" ht="12.75" customHeight="1">
      <c r="B244" s="204"/>
      <c r="C244" s="204"/>
      <c r="D244" s="204"/>
      <c r="E244" s="204"/>
      <c r="F244" s="204"/>
      <c r="G244" s="204"/>
      <c r="H244" s="204"/>
      <c r="I244" s="204"/>
      <c r="J244" s="204"/>
      <c r="K244" s="204"/>
      <c r="L244" s="204"/>
      <c r="M244" s="204"/>
      <c r="N244" s="204"/>
      <c r="O244" s="204"/>
      <c r="P244" s="204"/>
      <c r="Q244" s="204"/>
      <c r="R244" s="204"/>
      <c r="S244" s="204"/>
      <c r="T244" s="204"/>
      <c r="U244" s="204"/>
      <c r="V244" s="204"/>
      <c r="W244" s="204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4"/>
  <sheetViews>
    <sheetView view="pageBreakPreview" zoomScaleSheetLayoutView="100" workbookViewId="0">
      <selection activeCell="A31" sqref="A31:XFD31"/>
    </sheetView>
  </sheetViews>
  <sheetFormatPr defaultColWidth="9.140625" defaultRowHeight="14.25"/>
  <cols>
    <col min="1" max="1" width="5.42578125" style="378" customWidth="1"/>
    <col min="2" max="2" width="5" style="378" customWidth="1"/>
    <col min="3" max="3" width="21.5703125" style="378" customWidth="1"/>
    <col min="4" max="4" width="3.28515625" style="378" customWidth="1"/>
    <col min="5" max="5" width="14" style="49" customWidth="1"/>
    <col min="6" max="6" width="9.140625" style="378"/>
    <col min="7" max="7" width="10.28515625" style="378" customWidth="1"/>
    <col min="8" max="13" width="9.140625" style="378"/>
    <col min="14" max="15" width="3.42578125" style="378" customWidth="1"/>
    <col min="16" max="16" width="5.5703125" style="378" customWidth="1"/>
    <col min="17" max="16384" width="9.140625" style="378"/>
  </cols>
  <sheetData>
    <row r="1" spans="1:16" ht="25.5">
      <c r="A1" s="781" t="str">
        <f>封面!$A$4</f>
        <v>彰化縣地方教育發展基金－彰化縣彰化市民生國民小學</v>
      </c>
      <c r="B1" s="781"/>
      <c r="C1" s="781"/>
      <c r="D1" s="781"/>
      <c r="E1" s="781"/>
      <c r="F1" s="781"/>
      <c r="G1" s="781"/>
      <c r="H1" s="781"/>
      <c r="I1" s="781"/>
      <c r="J1" s="781"/>
      <c r="K1" s="781"/>
      <c r="L1" s="781"/>
      <c r="M1" s="781"/>
      <c r="N1" s="781"/>
      <c r="O1" s="781"/>
    </row>
    <row r="2" spans="1:16" ht="19.5">
      <c r="A2" s="782" t="s">
        <v>115</v>
      </c>
      <c r="B2" s="782"/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782"/>
      <c r="N2" s="782"/>
      <c r="O2" s="782"/>
    </row>
    <row r="3" spans="1:16" ht="15.75">
      <c r="A3" s="783" t="str">
        <f>封面!$E$10&amp;封面!$H$10&amp;封面!$I$10&amp;封面!$J$10&amp;封面!$K$10&amp;封面!L10</f>
        <v>中華民國114年5月份</v>
      </c>
      <c r="B3" s="783"/>
      <c r="C3" s="783"/>
      <c r="D3" s="783"/>
      <c r="E3" s="783"/>
      <c r="F3" s="783"/>
      <c r="G3" s="783"/>
      <c r="H3" s="783"/>
      <c r="I3" s="783"/>
      <c r="J3" s="783"/>
      <c r="K3" s="783"/>
      <c r="L3" s="783"/>
      <c r="M3" s="783"/>
      <c r="N3" s="783"/>
      <c r="O3" s="783"/>
    </row>
    <row r="4" spans="1:16" s="379" customFormat="1" ht="16.5">
      <c r="A4" s="379" t="s">
        <v>215</v>
      </c>
      <c r="B4" s="780" t="s">
        <v>216</v>
      </c>
      <c r="C4" s="780"/>
      <c r="D4" s="780"/>
      <c r="E4" s="780"/>
      <c r="F4" s="780"/>
      <c r="G4" s="780"/>
      <c r="H4" s="780"/>
      <c r="I4" s="780"/>
      <c r="J4" s="780"/>
      <c r="K4" s="780"/>
      <c r="L4" s="780"/>
      <c r="M4" s="780"/>
      <c r="N4" s="780"/>
      <c r="O4" s="780"/>
      <c r="P4" s="780"/>
    </row>
    <row r="5" spans="1:16" s="379" customFormat="1" ht="16.5">
      <c r="B5" s="379" t="s">
        <v>223</v>
      </c>
      <c r="C5" s="379" t="s">
        <v>416</v>
      </c>
      <c r="D5" s="89" t="s">
        <v>217</v>
      </c>
      <c r="E5" s="50" t="s">
        <v>474</v>
      </c>
    </row>
    <row r="6" spans="1:16" s="379" customFormat="1" ht="16.5">
      <c r="D6" s="550"/>
      <c r="E6" s="50" t="s">
        <v>475</v>
      </c>
      <c r="H6" s="295" t="s">
        <v>476</v>
      </c>
      <c r="I6" s="295"/>
      <c r="J6" s="295"/>
      <c r="K6" s="295"/>
      <c r="L6" s="295"/>
      <c r="M6" s="295"/>
      <c r="N6" s="295"/>
      <c r="O6" s="295"/>
      <c r="P6" s="295"/>
    </row>
    <row r="7" spans="1:16" s="379" customFormat="1" ht="16.5">
      <c r="B7" s="379" t="s">
        <v>226</v>
      </c>
      <c r="C7" s="379" t="s">
        <v>417</v>
      </c>
      <c r="E7" s="50" t="s">
        <v>474</v>
      </c>
      <c r="H7" s="295"/>
      <c r="I7" s="295"/>
      <c r="J7" s="295"/>
      <c r="K7" s="295"/>
      <c r="L7" s="295"/>
      <c r="M7" s="295"/>
      <c r="N7" s="295"/>
      <c r="O7" s="295"/>
      <c r="P7" s="295"/>
    </row>
    <row r="8" spans="1:16" s="379" customFormat="1" ht="16.5">
      <c r="D8" s="89" t="s">
        <v>217</v>
      </c>
      <c r="E8" s="50" t="s">
        <v>475</v>
      </c>
      <c r="H8" s="183" t="s">
        <v>425</v>
      </c>
      <c r="I8" s="295"/>
      <c r="J8" s="295"/>
      <c r="K8" s="295"/>
      <c r="L8" s="295"/>
      <c r="M8" s="295"/>
      <c r="N8" s="295"/>
      <c r="O8" s="295"/>
      <c r="P8" s="295"/>
    </row>
    <row r="9" spans="1:16" s="379" customFormat="1" ht="16.5">
      <c r="B9" s="379" t="s">
        <v>277</v>
      </c>
      <c r="C9" s="379" t="s">
        <v>218</v>
      </c>
      <c r="D9" s="89" t="s">
        <v>217</v>
      </c>
      <c r="E9" s="50" t="s">
        <v>474</v>
      </c>
      <c r="H9" s="295"/>
      <c r="I9" s="295"/>
      <c r="J9" s="295"/>
      <c r="K9" s="295"/>
      <c r="L9" s="295"/>
      <c r="M9" s="295"/>
      <c r="N9" s="295"/>
      <c r="O9" s="295"/>
      <c r="P9" s="295"/>
    </row>
    <row r="10" spans="1:16" s="379" customFormat="1" ht="16.5">
      <c r="D10" s="539"/>
      <c r="E10" s="50" t="s">
        <v>475</v>
      </c>
      <c r="H10" s="540" t="s">
        <v>468</v>
      </c>
      <c r="I10" s="295"/>
      <c r="J10" s="295"/>
      <c r="K10" s="295"/>
      <c r="L10" s="295"/>
      <c r="M10" s="295"/>
      <c r="N10" s="295"/>
      <c r="O10" s="295"/>
      <c r="P10" s="295"/>
    </row>
    <row r="11" spans="1:16" s="379" customFormat="1" ht="16.5">
      <c r="B11" s="379" t="s">
        <v>278</v>
      </c>
      <c r="C11" s="379" t="s">
        <v>219</v>
      </c>
      <c r="D11" s="89" t="s">
        <v>217</v>
      </c>
      <c r="E11" s="50" t="s">
        <v>474</v>
      </c>
      <c r="H11" s="295"/>
      <c r="I11" s="295"/>
      <c r="J11" s="295"/>
      <c r="K11" s="295"/>
      <c r="L11" s="295"/>
      <c r="M11" s="295"/>
      <c r="N11" s="295"/>
      <c r="O11" s="295"/>
      <c r="P11" s="295"/>
    </row>
    <row r="12" spans="1:16" s="379" customFormat="1" ht="16.5">
      <c r="E12" s="50" t="s">
        <v>475</v>
      </c>
      <c r="H12" s="295"/>
      <c r="I12" s="295"/>
      <c r="J12" s="295"/>
      <c r="K12" s="295"/>
      <c r="L12" s="295"/>
      <c r="M12" s="295"/>
      <c r="N12" s="295"/>
      <c r="O12" s="295"/>
      <c r="P12" s="295"/>
    </row>
    <row r="13" spans="1:16" s="379" customFormat="1" ht="16.5" hidden="1">
      <c r="B13" s="379" t="s">
        <v>279</v>
      </c>
      <c r="C13" s="380" t="s">
        <v>472</v>
      </c>
      <c r="D13" s="89" t="s">
        <v>217</v>
      </c>
      <c r="E13" s="390" t="s">
        <v>474</v>
      </c>
      <c r="H13" s="295"/>
      <c r="I13" s="295"/>
      <c r="J13" s="295"/>
      <c r="K13" s="295"/>
      <c r="L13" s="295"/>
      <c r="M13" s="295"/>
      <c r="N13" s="295"/>
      <c r="O13" s="295"/>
      <c r="P13" s="295"/>
    </row>
    <row r="14" spans="1:16" s="379" customFormat="1" ht="16.5" hidden="1" customHeight="1">
      <c r="C14" s="380"/>
      <c r="D14" s="539"/>
      <c r="E14" s="391" t="s">
        <v>475</v>
      </c>
      <c r="H14" s="183" t="s">
        <v>473</v>
      </c>
      <c r="I14" s="295"/>
      <c r="J14" s="295"/>
      <c r="K14" s="295"/>
      <c r="L14" s="295"/>
      <c r="M14" s="295"/>
      <c r="N14" s="295"/>
      <c r="O14" s="295"/>
      <c r="P14" s="295"/>
    </row>
    <row r="15" spans="1:16" s="379" customFormat="1" ht="16.5">
      <c r="B15" s="379" t="s">
        <v>279</v>
      </c>
      <c r="C15" s="380" t="s">
        <v>220</v>
      </c>
      <c r="D15" s="550"/>
      <c r="E15" s="390" t="s">
        <v>474</v>
      </c>
      <c r="H15" s="295"/>
      <c r="I15" s="295"/>
      <c r="J15" s="295"/>
      <c r="K15" s="295"/>
      <c r="L15" s="295"/>
      <c r="M15" s="295"/>
      <c r="N15" s="295"/>
      <c r="O15" s="295"/>
      <c r="P15" s="295"/>
    </row>
    <row r="16" spans="1:16" s="379" customFormat="1" ht="16.5" customHeight="1">
      <c r="C16" s="380"/>
      <c r="D16" s="89" t="s">
        <v>217</v>
      </c>
      <c r="E16" s="391" t="s">
        <v>475</v>
      </c>
      <c r="H16" s="784" t="s">
        <v>485</v>
      </c>
      <c r="I16" s="784"/>
      <c r="J16" s="784"/>
      <c r="K16" s="784"/>
      <c r="L16" s="784"/>
      <c r="M16" s="784"/>
      <c r="N16" s="784"/>
      <c r="O16" s="784"/>
      <c r="P16" s="784"/>
    </row>
    <row r="17" spans="1:16" s="379" customFormat="1" ht="16.5" customHeight="1">
      <c r="C17" s="380"/>
      <c r="D17" s="330"/>
      <c r="E17" s="329"/>
      <c r="H17" s="784"/>
      <c r="I17" s="784"/>
      <c r="J17" s="784"/>
      <c r="K17" s="784"/>
      <c r="L17" s="784"/>
      <c r="M17" s="784"/>
      <c r="N17" s="784"/>
      <c r="O17" s="784"/>
      <c r="P17" s="784"/>
    </row>
    <row r="18" spans="1:16" s="379" customFormat="1" ht="15.75" customHeight="1">
      <c r="C18" s="380"/>
      <c r="D18" s="380"/>
      <c r="E18" s="316"/>
    </row>
    <row r="19" spans="1:16" s="379" customFormat="1" ht="16.5">
      <c r="A19" s="379" t="s">
        <v>221</v>
      </c>
      <c r="B19" s="780" t="s">
        <v>222</v>
      </c>
      <c r="C19" s="780"/>
      <c r="D19" s="780"/>
      <c r="E19" s="780"/>
      <c r="F19" s="780"/>
      <c r="G19" s="780"/>
      <c r="H19" s="780"/>
      <c r="I19" s="780"/>
      <c r="J19" s="780"/>
      <c r="K19" s="780"/>
      <c r="L19" s="780"/>
      <c r="M19" s="780"/>
      <c r="N19" s="780"/>
    </row>
    <row r="20" spans="1:16" s="379" customFormat="1" ht="16.5">
      <c r="B20" s="379" t="s">
        <v>223</v>
      </c>
      <c r="C20" s="380" t="s">
        <v>224</v>
      </c>
      <c r="D20" s="380"/>
      <c r="E20" s="331"/>
    </row>
    <row r="21" spans="1:16" s="379" customFormat="1" ht="16.5">
      <c r="C21" s="380" t="s">
        <v>225</v>
      </c>
      <c r="D21" s="328" t="s">
        <v>217</v>
      </c>
      <c r="E21" s="331" t="s">
        <v>474</v>
      </c>
    </row>
    <row r="22" spans="1:16" s="379" customFormat="1" ht="16.5">
      <c r="C22" s="380"/>
      <c r="E22" s="331" t="s">
        <v>475</v>
      </c>
      <c r="H22" s="419"/>
      <c r="I22" s="417"/>
      <c r="J22" s="417"/>
      <c r="K22" s="417"/>
      <c r="L22" s="417"/>
      <c r="M22" s="417"/>
      <c r="N22" s="417"/>
      <c r="O22" s="417"/>
      <c r="P22" s="417"/>
    </row>
    <row r="23" spans="1:16" s="379" customFormat="1" ht="16.5">
      <c r="B23" s="379" t="s">
        <v>226</v>
      </c>
      <c r="C23" s="380"/>
      <c r="D23" s="330"/>
      <c r="E23" s="331"/>
      <c r="H23" s="418"/>
      <c r="I23" s="418"/>
      <c r="J23" s="418"/>
      <c r="K23" s="418"/>
      <c r="L23" s="418"/>
      <c r="M23" s="418"/>
      <c r="N23" s="418"/>
      <c r="O23" s="418"/>
      <c r="P23" s="418"/>
    </row>
    <row r="24" spans="1:16" s="379" customFormat="1" ht="16.5">
      <c r="C24" s="380" t="s">
        <v>227</v>
      </c>
      <c r="D24" s="380"/>
      <c r="E24" s="331"/>
    </row>
    <row r="25" spans="1:16" s="379" customFormat="1" ht="16.5" hidden="1">
      <c r="C25" s="496" t="s">
        <v>451</v>
      </c>
      <c r="E25" s="51" t="s">
        <v>474</v>
      </c>
    </row>
    <row r="26" spans="1:16" s="379" customFormat="1" ht="16.5" hidden="1">
      <c r="D26" s="89" t="s">
        <v>217</v>
      </c>
      <c r="E26" s="50" t="s">
        <v>475</v>
      </c>
      <c r="H26" s="778" t="s">
        <v>452</v>
      </c>
      <c r="I26" s="779"/>
      <c r="J26" s="779"/>
      <c r="K26" s="779"/>
      <c r="L26" s="779"/>
      <c r="M26" s="779"/>
      <c r="N26" s="779"/>
      <c r="O26" s="779"/>
      <c r="P26" s="779"/>
    </row>
    <row r="27" spans="1:16" s="379" customFormat="1" ht="16.5" hidden="1">
      <c r="D27" s="497"/>
      <c r="E27" s="50"/>
      <c r="H27" s="779"/>
      <c r="I27" s="779"/>
      <c r="J27" s="779"/>
      <c r="K27" s="779"/>
      <c r="L27" s="779"/>
      <c r="M27" s="779"/>
      <c r="N27" s="779"/>
      <c r="O27" s="779"/>
      <c r="P27" s="779"/>
    </row>
    <row r="28" spans="1:16" s="379" customFormat="1" ht="16.5">
      <c r="C28" s="379" t="s">
        <v>477</v>
      </c>
      <c r="D28" s="498"/>
      <c r="E28" s="51" t="s">
        <v>474</v>
      </c>
    </row>
    <row r="29" spans="1:16" s="379" customFormat="1" ht="16.5">
      <c r="D29" s="89" t="s">
        <v>217</v>
      </c>
      <c r="E29" s="50" t="s">
        <v>475</v>
      </c>
      <c r="H29" s="778" t="s">
        <v>452</v>
      </c>
      <c r="I29" s="779"/>
      <c r="J29" s="779"/>
      <c r="K29" s="779"/>
      <c r="L29" s="779"/>
      <c r="M29" s="779"/>
      <c r="N29" s="779"/>
      <c r="O29" s="779"/>
      <c r="P29" s="779"/>
    </row>
    <row r="30" spans="1:16" s="379" customFormat="1" ht="16.5">
      <c r="E30" s="51"/>
      <c r="H30" s="779"/>
      <c r="I30" s="779"/>
      <c r="J30" s="779"/>
      <c r="K30" s="779"/>
      <c r="L30" s="779"/>
      <c r="M30" s="779"/>
      <c r="N30" s="779"/>
      <c r="O30" s="779"/>
      <c r="P30" s="779"/>
    </row>
    <row r="31" spans="1:16" s="379" customFormat="1" ht="16.5">
      <c r="E31" s="51"/>
    </row>
    <row r="32" spans="1:16" s="379" customFormat="1" ht="16.5">
      <c r="E32" s="51"/>
    </row>
    <row r="33" spans="5:5" s="379" customFormat="1" ht="16.5">
      <c r="E33" s="51"/>
    </row>
    <row r="34" spans="5:5" s="379" customFormat="1" ht="16.5">
      <c r="E34" s="51"/>
    </row>
    <row r="35" spans="5:5" s="379" customFormat="1" ht="16.5">
      <c r="E35" s="51"/>
    </row>
    <row r="36" spans="5:5" s="379" customFormat="1" ht="16.5">
      <c r="E36" s="51"/>
    </row>
    <row r="37" spans="5:5" s="379" customFormat="1" ht="16.5">
      <c r="E37" s="51"/>
    </row>
    <row r="38" spans="5:5" s="379" customFormat="1" ht="16.5">
      <c r="E38" s="51"/>
    </row>
    <row r="39" spans="5:5" s="379" customFormat="1" ht="16.5">
      <c r="E39" s="51"/>
    </row>
    <row r="40" spans="5:5" s="379" customFormat="1" ht="16.5">
      <c r="E40" s="51"/>
    </row>
    <row r="41" spans="5:5" s="379" customFormat="1" ht="16.5">
      <c r="E41" s="51"/>
    </row>
    <row r="42" spans="5:5" s="379" customFormat="1" ht="16.5">
      <c r="E42" s="51"/>
    </row>
    <row r="43" spans="5:5" s="379" customFormat="1" ht="16.5">
      <c r="E43" s="51"/>
    </row>
    <row r="44" spans="5:5" s="379" customFormat="1" ht="16.5">
      <c r="E44" s="51"/>
    </row>
    <row r="45" spans="5:5" s="379" customFormat="1" ht="16.5">
      <c r="E45" s="51"/>
    </row>
    <row r="46" spans="5:5" s="379" customFormat="1" ht="16.5">
      <c r="E46" s="51"/>
    </row>
    <row r="47" spans="5:5" s="379" customFormat="1" ht="16.5">
      <c r="E47" s="51"/>
    </row>
    <row r="48" spans="5:5" s="379" customFormat="1" ht="16.5">
      <c r="E48" s="51"/>
    </row>
    <row r="49" spans="5:5" s="379" customFormat="1" ht="16.5">
      <c r="E49" s="51"/>
    </row>
    <row r="50" spans="5:5" s="379" customFormat="1" ht="16.5">
      <c r="E50" s="51"/>
    </row>
    <row r="51" spans="5:5" s="379" customFormat="1" ht="16.5">
      <c r="E51" s="51"/>
    </row>
    <row r="52" spans="5:5" s="379" customFormat="1" ht="16.5">
      <c r="E52" s="51"/>
    </row>
    <row r="53" spans="5:5" s="379" customFormat="1" ht="16.5">
      <c r="E53" s="51"/>
    </row>
    <row r="54" spans="5:5" s="379" customFormat="1" ht="16.5">
      <c r="E54" s="51"/>
    </row>
    <row r="55" spans="5:5" s="379" customFormat="1" ht="16.5">
      <c r="E55" s="51"/>
    </row>
    <row r="56" spans="5:5" s="379" customFormat="1" ht="16.5">
      <c r="E56" s="51"/>
    </row>
    <row r="57" spans="5:5" s="379" customFormat="1" ht="16.5">
      <c r="E57" s="51"/>
    </row>
    <row r="58" spans="5:5" s="379" customFormat="1" ht="16.5">
      <c r="E58" s="51"/>
    </row>
    <row r="59" spans="5:5" s="379" customFormat="1" ht="16.5">
      <c r="E59" s="51"/>
    </row>
    <row r="60" spans="5:5" s="379" customFormat="1" ht="16.5">
      <c r="E60" s="51"/>
    </row>
    <row r="61" spans="5:5" s="379" customFormat="1" ht="16.5">
      <c r="E61" s="51"/>
    </row>
    <row r="62" spans="5:5" s="379" customFormat="1" ht="16.5">
      <c r="E62" s="51"/>
    </row>
    <row r="63" spans="5:5" s="379" customFormat="1" ht="16.5">
      <c r="E63" s="51"/>
    </row>
    <row r="64" spans="5:5" s="379" customFormat="1" ht="16.5">
      <c r="E64" s="51"/>
    </row>
  </sheetData>
  <mergeCells count="8">
    <mergeCell ref="H26:P27"/>
    <mergeCell ref="H29:P30"/>
    <mergeCell ref="B19:N19"/>
    <mergeCell ref="A1:O1"/>
    <mergeCell ref="A2:O2"/>
    <mergeCell ref="A3:O3"/>
    <mergeCell ref="B4:P4"/>
    <mergeCell ref="H16:P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31" sqref="A31:XFD31"/>
      <selection pane="topRight" activeCell="A31" sqref="A31:XFD31"/>
      <selection pane="bottomLeft" activeCell="A31" sqref="A31:XFD31"/>
      <selection pane="bottomRight" activeCell="A31" sqref="A31:XFD31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28" t="str">
        <f>封面!$A$4</f>
        <v>彰化縣地方教育發展基金－彰化縣彰化市民生國民小學</v>
      </c>
      <c r="B1" s="728"/>
      <c r="C1" s="728"/>
      <c r="D1" s="728"/>
      <c r="E1" s="728"/>
      <c r="F1" s="728"/>
      <c r="G1" s="728"/>
      <c r="H1" s="728"/>
      <c r="I1" s="618"/>
      <c r="J1" s="618"/>
      <c r="K1" s="618"/>
      <c r="L1" s="618"/>
      <c r="M1" s="618"/>
      <c r="N1" s="618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44" t="s">
        <v>294</v>
      </c>
      <c r="B4" s="744"/>
      <c r="C4" s="744"/>
      <c r="D4" s="744"/>
      <c r="E4" s="744"/>
      <c r="F4" s="744"/>
      <c r="G4" s="744"/>
      <c r="H4" s="744"/>
      <c r="I4" s="618"/>
      <c r="J4" s="618"/>
      <c r="K4" s="618"/>
      <c r="L4" s="618"/>
      <c r="M4" s="618"/>
      <c r="N4" s="618"/>
    </row>
    <row r="5" spans="1:18" ht="6.75" customHeight="1"/>
    <row r="6" spans="1:18" ht="16.5">
      <c r="A6" s="729" t="str">
        <f>封面!$E$10&amp;封面!$H$10&amp;封面!$I$10&amp;封面!$J$10&amp;封面!$K$10&amp;封面!$O$10&amp;"日"</f>
        <v>中華民國114年5月31日</v>
      </c>
      <c r="B6" s="729"/>
      <c r="C6" s="729"/>
      <c r="D6" s="729"/>
      <c r="E6" s="729"/>
      <c r="F6" s="729"/>
      <c r="G6" s="729"/>
      <c r="H6" s="729"/>
      <c r="I6" s="618"/>
      <c r="J6" s="618"/>
      <c r="K6" s="618"/>
      <c r="L6" s="618"/>
      <c r="M6" s="618"/>
      <c r="N6" s="618"/>
    </row>
    <row r="7" spans="1:18" ht="16.5">
      <c r="A7" s="695" t="s">
        <v>39</v>
      </c>
      <c r="B7" s="695"/>
      <c r="C7" s="695"/>
      <c r="D7" s="695"/>
      <c r="E7" s="695"/>
      <c r="F7" s="695"/>
      <c r="G7" s="695"/>
      <c r="H7" s="695"/>
      <c r="I7" s="618"/>
      <c r="J7" s="618"/>
      <c r="K7" s="618"/>
      <c r="L7" s="618"/>
      <c r="M7" s="618"/>
      <c r="N7" s="618"/>
    </row>
    <row r="8" spans="1:18" ht="6" hidden="1" customHeight="1"/>
    <row r="9" spans="1:18" s="299" customFormat="1" ht="21" customHeight="1">
      <c r="A9" s="798" t="s">
        <v>291</v>
      </c>
      <c r="B9" s="799"/>
      <c r="C9" s="799"/>
      <c r="D9" s="799"/>
      <c r="E9" s="799"/>
      <c r="F9" s="798" t="s">
        <v>194</v>
      </c>
      <c r="G9" s="799"/>
      <c r="H9" s="799"/>
      <c r="I9" s="799"/>
      <c r="J9" s="799"/>
      <c r="K9" s="799"/>
      <c r="L9" s="799"/>
      <c r="M9" s="799"/>
      <c r="N9" s="799"/>
      <c r="O9" s="298"/>
      <c r="P9" s="298"/>
      <c r="Q9" s="298"/>
      <c r="R9" s="298"/>
    </row>
    <row r="10" spans="1:18" s="299" customFormat="1" ht="21" customHeight="1">
      <c r="A10" s="799"/>
      <c r="B10" s="799"/>
      <c r="C10" s="799"/>
      <c r="D10" s="799"/>
      <c r="E10" s="799"/>
      <c r="F10" s="795" t="s">
        <v>292</v>
      </c>
      <c r="G10" s="796"/>
      <c r="H10" s="796"/>
      <c r="I10" s="797"/>
      <c r="J10" s="802" t="s">
        <v>293</v>
      </c>
      <c r="K10" s="802"/>
      <c r="L10" s="802"/>
      <c r="M10" s="802"/>
      <c r="N10" s="802"/>
    </row>
    <row r="11" spans="1:18" s="293" customFormat="1" ht="12.75" hidden="1" customHeight="1">
      <c r="A11" s="85"/>
      <c r="B11" s="69"/>
      <c r="C11" s="69"/>
      <c r="D11" s="69"/>
      <c r="E11" s="69"/>
      <c r="F11" s="3"/>
      <c r="G11" s="3"/>
      <c r="H11" s="291"/>
      <c r="I11" s="297"/>
      <c r="J11" s="300"/>
      <c r="K11" s="300"/>
      <c r="L11" s="300"/>
      <c r="M11" s="300"/>
      <c r="N11" s="301"/>
    </row>
    <row r="12" spans="1:18" s="293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0"/>
      <c r="K12" s="300"/>
      <c r="L12" s="300"/>
      <c r="M12" s="300"/>
      <c r="N12" s="301"/>
    </row>
    <row r="13" spans="1:18" s="293" customFormat="1" ht="9" hidden="1" customHeight="1">
      <c r="A13" s="85"/>
      <c r="B13" s="69"/>
      <c r="C13" s="332"/>
      <c r="D13" s="332"/>
      <c r="E13" s="332"/>
      <c r="F13" s="3"/>
      <c r="G13" s="3"/>
      <c r="H13" s="10"/>
      <c r="I13" s="10"/>
      <c r="J13" s="300"/>
      <c r="K13" s="300"/>
      <c r="L13" s="300"/>
      <c r="M13" s="300"/>
      <c r="N13" s="301"/>
    </row>
    <row r="14" spans="1:18" s="441" customFormat="1" ht="14.25">
      <c r="A14" s="800" t="s">
        <v>374</v>
      </c>
      <c r="B14" s="801"/>
      <c r="C14" s="801"/>
      <c r="D14" s="801"/>
      <c r="E14" s="434"/>
      <c r="F14" s="435"/>
      <c r="G14" s="436"/>
      <c r="H14" s="436"/>
      <c r="I14" s="437">
        <f>SUM(I15:I26)/2</f>
        <v>9730847</v>
      </c>
      <c r="J14" s="438"/>
      <c r="K14" s="439"/>
      <c r="L14" s="439"/>
      <c r="M14" s="440"/>
      <c r="N14" s="437">
        <f>I14+[1]收支!$N14</f>
        <v>66107283</v>
      </c>
    </row>
    <row r="15" spans="1:18" s="441" customFormat="1" ht="14.25">
      <c r="A15" s="442"/>
      <c r="B15" s="790" t="s">
        <v>375</v>
      </c>
      <c r="C15" s="790"/>
      <c r="D15" s="790"/>
      <c r="E15" s="791"/>
      <c r="F15" s="443"/>
      <c r="G15" s="444"/>
      <c r="H15" s="444"/>
      <c r="I15" s="445">
        <f>I16</f>
        <v>0</v>
      </c>
      <c r="J15" s="446"/>
      <c r="K15" s="447"/>
      <c r="L15" s="447"/>
      <c r="M15" s="448"/>
      <c r="N15" s="445">
        <f>I15+[1]收支!$N15</f>
        <v>143644</v>
      </c>
    </row>
    <row r="16" spans="1:18" s="457" customFormat="1" ht="14.25">
      <c r="A16" s="449"/>
      <c r="B16" s="450"/>
      <c r="C16" s="322" t="s">
        <v>376</v>
      </c>
      <c r="D16" s="322"/>
      <c r="E16" s="323"/>
      <c r="F16" s="451"/>
      <c r="G16" s="452"/>
      <c r="H16" s="452"/>
      <c r="I16" s="453"/>
      <c r="J16" s="454"/>
      <c r="K16" s="455"/>
      <c r="L16" s="455"/>
      <c r="M16" s="456"/>
      <c r="N16" s="453">
        <f>I16+[1]收支!$N16</f>
        <v>143644</v>
      </c>
    </row>
    <row r="17" spans="1:14" s="441" customFormat="1" ht="14.25">
      <c r="A17" s="458"/>
      <c r="B17" s="790" t="s">
        <v>312</v>
      </c>
      <c r="C17" s="790"/>
      <c r="D17" s="790"/>
      <c r="E17" s="791"/>
      <c r="F17" s="443"/>
      <c r="G17" s="444"/>
      <c r="H17" s="444"/>
      <c r="I17" s="445">
        <f>SUM(I18:I21)</f>
        <v>174847</v>
      </c>
      <c r="J17" s="446"/>
      <c r="K17" s="447"/>
      <c r="L17" s="447"/>
      <c r="M17" s="448"/>
      <c r="N17" s="445">
        <f>I17+[1]收支!$N17</f>
        <v>823950</v>
      </c>
    </row>
    <row r="18" spans="1:14" s="462" customFormat="1" ht="14.25" hidden="1">
      <c r="A18" s="459"/>
      <c r="B18" s="450"/>
      <c r="C18" s="322" t="s">
        <v>419</v>
      </c>
      <c r="D18" s="450"/>
      <c r="E18" s="460"/>
      <c r="F18" s="451"/>
      <c r="G18" s="452"/>
      <c r="H18" s="452"/>
      <c r="I18" s="461"/>
      <c r="J18" s="454"/>
      <c r="K18" s="455"/>
      <c r="L18" s="455"/>
      <c r="M18" s="456"/>
      <c r="N18" s="453">
        <f>I18+[1]收支!$N18</f>
        <v>0</v>
      </c>
    </row>
    <row r="19" spans="1:14" s="457" customFormat="1" ht="14.25">
      <c r="A19" s="459"/>
      <c r="B19" s="450"/>
      <c r="C19" s="322" t="s">
        <v>377</v>
      </c>
      <c r="D19" s="322"/>
      <c r="E19" s="323"/>
      <c r="F19" s="451"/>
      <c r="G19" s="452"/>
      <c r="H19" s="452"/>
      <c r="I19" s="453"/>
      <c r="J19" s="454"/>
      <c r="K19" s="455"/>
      <c r="L19" s="455"/>
      <c r="M19" s="456"/>
      <c r="N19" s="453">
        <f>I19+[1]收支!$N19</f>
        <v>880</v>
      </c>
    </row>
    <row r="20" spans="1:14" s="457" customFormat="1" ht="14.25">
      <c r="A20" s="459"/>
      <c r="B20" s="450"/>
      <c r="C20" s="322" t="s">
        <v>378</v>
      </c>
      <c r="D20" s="322"/>
      <c r="E20" s="323"/>
      <c r="F20" s="451"/>
      <c r="G20" s="452"/>
      <c r="H20" s="452"/>
      <c r="I20" s="453"/>
      <c r="J20" s="454"/>
      <c r="K20" s="455"/>
      <c r="L20" s="455"/>
      <c r="M20" s="456"/>
      <c r="N20" s="453">
        <f>I20+[1]收支!$N20</f>
        <v>98225</v>
      </c>
    </row>
    <row r="21" spans="1:14" s="457" customFormat="1" ht="14.25">
      <c r="A21" s="459"/>
      <c r="B21" s="450"/>
      <c r="C21" s="322" t="s">
        <v>379</v>
      </c>
      <c r="D21" s="322"/>
      <c r="E21" s="323"/>
      <c r="F21" s="451"/>
      <c r="G21" s="452"/>
      <c r="H21" s="452"/>
      <c r="I21" s="453">
        <v>174847</v>
      </c>
      <c r="J21" s="454"/>
      <c r="K21" s="455"/>
      <c r="L21" s="455"/>
      <c r="M21" s="456"/>
      <c r="N21" s="453">
        <f>I21+[1]收支!$N21</f>
        <v>724845</v>
      </c>
    </row>
    <row r="22" spans="1:14" s="464" customFormat="1" ht="14.25">
      <c r="A22" s="463"/>
      <c r="B22" s="790" t="s">
        <v>380</v>
      </c>
      <c r="C22" s="790"/>
      <c r="D22" s="790"/>
      <c r="E22" s="791"/>
      <c r="F22" s="443"/>
      <c r="G22" s="444"/>
      <c r="H22" s="444"/>
      <c r="I22" s="445">
        <f>I23</f>
        <v>9556000</v>
      </c>
      <c r="J22" s="446"/>
      <c r="K22" s="447"/>
      <c r="L22" s="447"/>
      <c r="M22" s="448"/>
      <c r="N22" s="445">
        <f>I22+[1]收支!$N22</f>
        <v>65139255</v>
      </c>
    </row>
    <row r="23" spans="1:14" s="469" customFormat="1" ht="14.25">
      <c r="A23" s="465"/>
      <c r="B23" s="49"/>
      <c r="C23" s="466" t="s">
        <v>381</v>
      </c>
      <c r="D23" s="466"/>
      <c r="E23" s="467"/>
      <c r="F23" s="465"/>
      <c r="G23"/>
      <c r="H23"/>
      <c r="I23" s="468">
        <v>9556000</v>
      </c>
      <c r="J23" s="459"/>
      <c r="K23" s="49"/>
      <c r="L23" s="49"/>
      <c r="M23" s="113"/>
      <c r="N23" s="468">
        <f>I23+[1]收支!$N23</f>
        <v>65139255</v>
      </c>
    </row>
    <row r="24" spans="1:14" s="464" customFormat="1" ht="14.25">
      <c r="A24" s="463"/>
      <c r="B24" s="470" t="s">
        <v>382</v>
      </c>
      <c r="C24" s="471"/>
      <c r="D24" s="471"/>
      <c r="E24" s="472"/>
      <c r="F24" s="463"/>
      <c r="G24" s="473"/>
      <c r="H24" s="473"/>
      <c r="I24" s="474">
        <f>SUM(I25:I26)</f>
        <v>0</v>
      </c>
      <c r="J24" s="458"/>
      <c r="K24" s="470"/>
      <c r="L24" s="470"/>
      <c r="M24" s="475"/>
      <c r="N24" s="474">
        <f>I24+[1]收支!$N24</f>
        <v>434</v>
      </c>
    </row>
    <row r="25" spans="1:14" s="464" customFormat="1" ht="14.25" hidden="1">
      <c r="A25" s="465"/>
      <c r="B25" s="49"/>
      <c r="C25" s="466" t="s">
        <v>471</v>
      </c>
      <c r="D25" s="535"/>
      <c r="E25" s="536"/>
      <c r="F25" s="465"/>
      <c r="G25"/>
      <c r="H25"/>
      <c r="I25" s="537"/>
      <c r="J25" s="459"/>
      <c r="K25" s="49"/>
      <c r="L25" s="49"/>
      <c r="M25" s="113"/>
      <c r="N25" s="468">
        <f>I25+[1]收支!$N25</f>
        <v>0</v>
      </c>
    </row>
    <row r="26" spans="1:14" s="469" customFormat="1" ht="14.25">
      <c r="A26" s="465"/>
      <c r="B26" s="49"/>
      <c r="C26" s="466" t="s">
        <v>367</v>
      </c>
      <c r="D26" s="466"/>
      <c r="E26" s="467"/>
      <c r="F26" s="465"/>
      <c r="G26"/>
      <c r="H26"/>
      <c r="I26" s="468"/>
      <c r="J26" s="459"/>
      <c r="K26" s="49"/>
      <c r="L26" s="49"/>
      <c r="M26" s="113"/>
      <c r="N26" s="468">
        <f>I26+[1]收支!$N26</f>
        <v>434</v>
      </c>
    </row>
    <row r="27" spans="1:14" s="464" customFormat="1" ht="14.25">
      <c r="A27" s="789" t="s">
        <v>313</v>
      </c>
      <c r="B27" s="790"/>
      <c r="C27" s="790"/>
      <c r="D27" s="790"/>
      <c r="E27" s="476"/>
      <c r="F27" s="443"/>
      <c r="G27" s="444"/>
      <c r="H27" s="444"/>
      <c r="I27" s="445">
        <f>SUM(I28:I38)/2</f>
        <v>11798961</v>
      </c>
      <c r="J27" s="446"/>
      <c r="K27" s="447"/>
      <c r="L27" s="447"/>
      <c r="M27" s="448"/>
      <c r="N27" s="445">
        <f>I27+[1]收支!$N27</f>
        <v>71859990</v>
      </c>
    </row>
    <row r="28" spans="1:14" s="464" customFormat="1" ht="14.25">
      <c r="A28" s="463"/>
      <c r="B28" s="790" t="s">
        <v>383</v>
      </c>
      <c r="C28" s="790"/>
      <c r="D28" s="790"/>
      <c r="E28" s="791"/>
      <c r="F28" s="443"/>
      <c r="G28" s="444"/>
      <c r="H28" s="444"/>
      <c r="I28" s="445">
        <f>I29</f>
        <v>10366926</v>
      </c>
      <c r="J28" s="446"/>
      <c r="K28" s="447"/>
      <c r="L28" s="447"/>
      <c r="M28" s="448"/>
      <c r="N28" s="445">
        <f>I28+[1]收支!$N28</f>
        <v>65265185</v>
      </c>
    </row>
    <row r="29" spans="1:14" s="469" customFormat="1" ht="14.25">
      <c r="A29" s="465"/>
      <c r="B29" s="450"/>
      <c r="C29" s="322" t="s">
        <v>383</v>
      </c>
      <c r="D29" s="322"/>
      <c r="E29" s="323"/>
      <c r="F29" s="451"/>
      <c r="G29" s="452"/>
      <c r="H29" s="452"/>
      <c r="I29" s="453">
        <v>10366926</v>
      </c>
      <c r="J29" s="454"/>
      <c r="K29" s="455"/>
      <c r="L29" s="455"/>
      <c r="M29" s="456"/>
      <c r="N29" s="453">
        <f>I29+[1]收支!$N29</f>
        <v>65265185</v>
      </c>
    </row>
    <row r="30" spans="1:14" s="464" customFormat="1" ht="14.25">
      <c r="A30" s="463"/>
      <c r="B30" s="790" t="s">
        <v>384</v>
      </c>
      <c r="C30" s="790"/>
      <c r="D30" s="790"/>
      <c r="E30" s="791"/>
      <c r="F30" s="443"/>
      <c r="G30" s="444"/>
      <c r="H30" s="444"/>
      <c r="I30" s="445">
        <f>I31</f>
        <v>444859</v>
      </c>
      <c r="J30" s="446"/>
      <c r="K30" s="447"/>
      <c r="L30" s="447"/>
      <c r="M30" s="448"/>
      <c r="N30" s="445">
        <f>I30+[1]收支!$N30</f>
        <v>1610211</v>
      </c>
    </row>
    <row r="31" spans="1:14" s="469" customFormat="1" ht="14.25">
      <c r="A31" s="465"/>
      <c r="B31" s="450"/>
      <c r="C31" s="322" t="s">
        <v>384</v>
      </c>
      <c r="D31" s="322"/>
      <c r="E31" s="323"/>
      <c r="F31" s="451"/>
      <c r="G31" s="452"/>
      <c r="H31" s="452"/>
      <c r="I31" s="453">
        <v>444859</v>
      </c>
      <c r="J31" s="454"/>
      <c r="K31" s="455"/>
      <c r="L31" s="455"/>
      <c r="M31" s="456"/>
      <c r="N31" s="453">
        <f>I31+[1]收支!$N31</f>
        <v>1610211</v>
      </c>
    </row>
    <row r="32" spans="1:14" s="464" customFormat="1" ht="14.25">
      <c r="A32" s="463"/>
      <c r="B32" s="477" t="s">
        <v>385</v>
      </c>
      <c r="C32" s="478"/>
      <c r="D32" s="478"/>
      <c r="E32" s="479"/>
      <c r="F32" s="443"/>
      <c r="G32" s="444"/>
      <c r="H32" s="444"/>
      <c r="I32" s="445">
        <f>I33</f>
        <v>5737</v>
      </c>
      <c r="J32" s="446"/>
      <c r="K32" s="447"/>
      <c r="L32" s="447"/>
      <c r="M32" s="448"/>
      <c r="N32" s="445">
        <f>I32+[1]收支!$N32</f>
        <v>8482</v>
      </c>
    </row>
    <row r="33" spans="1:14" s="469" customFormat="1" ht="14.25">
      <c r="A33" s="465"/>
      <c r="B33" s="450"/>
      <c r="C33" s="322" t="s">
        <v>386</v>
      </c>
      <c r="D33" s="322"/>
      <c r="E33" s="323"/>
      <c r="F33" s="451"/>
      <c r="G33" s="452"/>
      <c r="H33" s="452"/>
      <c r="I33" s="453">
        <v>5737</v>
      </c>
      <c r="J33" s="454"/>
      <c r="K33" s="455"/>
      <c r="L33" s="455"/>
      <c r="M33" s="456"/>
      <c r="N33" s="453">
        <f>I33+[1]收支!$N33</f>
        <v>8482</v>
      </c>
    </row>
    <row r="34" spans="1:14" s="464" customFormat="1" ht="14.25">
      <c r="A34" s="463"/>
      <c r="B34" s="790" t="s">
        <v>387</v>
      </c>
      <c r="C34" s="790"/>
      <c r="D34" s="790"/>
      <c r="E34" s="791"/>
      <c r="F34" s="443"/>
      <c r="G34" s="444"/>
      <c r="H34" s="444"/>
      <c r="I34" s="445">
        <f>I35+I36</f>
        <v>965114</v>
      </c>
      <c r="J34" s="446"/>
      <c r="K34" s="447"/>
      <c r="L34" s="447"/>
      <c r="M34" s="448"/>
      <c r="N34" s="445">
        <f>I34+[1]收支!$N34</f>
        <v>4939187</v>
      </c>
    </row>
    <row r="35" spans="1:14" s="469" customFormat="1" ht="14.25">
      <c r="A35" s="465"/>
      <c r="B35" s="49"/>
      <c r="C35" s="466" t="s">
        <v>388</v>
      </c>
      <c r="D35" s="466"/>
      <c r="E35" s="467"/>
      <c r="F35" s="465"/>
      <c r="G35"/>
      <c r="H35"/>
      <c r="I35" s="453">
        <v>958811</v>
      </c>
      <c r="J35" s="459"/>
      <c r="K35" s="49"/>
      <c r="L35" s="49"/>
      <c r="M35" s="113"/>
      <c r="N35" s="453">
        <f>I35+[1]收支!$N35</f>
        <v>4907672</v>
      </c>
    </row>
    <row r="36" spans="1:14" s="469" customFormat="1" ht="14.25">
      <c r="A36" s="465"/>
      <c r="B36" s="49"/>
      <c r="C36" s="466" t="s">
        <v>449</v>
      </c>
      <c r="D36" s="466"/>
      <c r="E36" s="467"/>
      <c r="F36" s="465"/>
      <c r="G36"/>
      <c r="H36"/>
      <c r="I36" s="453">
        <v>6303</v>
      </c>
      <c r="J36" s="459"/>
      <c r="K36" s="49"/>
      <c r="L36" s="49"/>
      <c r="M36" s="113"/>
      <c r="N36" s="453">
        <f>I36+[1]收支!$N36</f>
        <v>31515</v>
      </c>
    </row>
    <row r="37" spans="1:14" s="464" customFormat="1" ht="14.25">
      <c r="A37" s="463"/>
      <c r="B37" s="470" t="s">
        <v>389</v>
      </c>
      <c r="C37" s="471"/>
      <c r="D37" s="471"/>
      <c r="E37" s="472"/>
      <c r="F37" s="463"/>
      <c r="G37" s="473"/>
      <c r="H37" s="473"/>
      <c r="I37" s="445">
        <f>I38</f>
        <v>16325</v>
      </c>
      <c r="J37" s="458"/>
      <c r="K37" s="470"/>
      <c r="L37" s="470"/>
      <c r="M37" s="475"/>
      <c r="N37" s="445">
        <f>I37+[1]收支!$N37</f>
        <v>36925</v>
      </c>
    </row>
    <row r="38" spans="1:14" s="469" customFormat="1" ht="14.25">
      <c r="A38" s="465"/>
      <c r="B38" s="49"/>
      <c r="C38" s="466" t="s">
        <v>389</v>
      </c>
      <c r="D38" s="466"/>
      <c r="E38" s="467"/>
      <c r="F38" s="465"/>
      <c r="G38"/>
      <c r="H38"/>
      <c r="I38" s="453">
        <v>16325</v>
      </c>
      <c r="J38" s="459"/>
      <c r="K38" s="49"/>
      <c r="L38" s="49"/>
      <c r="M38" s="113"/>
      <c r="N38" s="453">
        <f>I38+[1]收支!$N38</f>
        <v>36925</v>
      </c>
    </row>
    <row r="39" spans="1:14" s="464" customFormat="1" ht="14.25">
      <c r="A39" s="792" t="s">
        <v>390</v>
      </c>
      <c r="B39" s="793"/>
      <c r="C39" s="794"/>
      <c r="D39" s="794"/>
      <c r="E39" s="476"/>
      <c r="F39" s="443"/>
      <c r="G39" s="444"/>
      <c r="H39" s="444"/>
      <c r="I39" s="445">
        <f>I14-I27</f>
        <v>-2068114</v>
      </c>
      <c r="J39" s="446"/>
      <c r="K39" s="447"/>
      <c r="L39" s="447"/>
      <c r="M39" s="448"/>
      <c r="N39" s="445">
        <f>I39+[1]收支!$N39</f>
        <v>-5752707</v>
      </c>
    </row>
    <row r="40" spans="1:14" s="469" customFormat="1" ht="14.25">
      <c r="A40" s="785" t="s">
        <v>314</v>
      </c>
      <c r="B40" s="786"/>
      <c r="C40" s="786"/>
      <c r="D40" s="786"/>
      <c r="E40" s="480"/>
      <c r="F40" s="481"/>
      <c r="G40" s="482"/>
      <c r="H40" s="483"/>
      <c r="I40" s="453"/>
      <c r="J40" s="454"/>
      <c r="K40" s="455"/>
      <c r="L40" s="455"/>
      <c r="M40" s="456"/>
      <c r="N40" s="484">
        <f>[2]收支!$N43</f>
        <v>343110363</v>
      </c>
    </row>
    <row r="41" spans="1:14" s="469" customFormat="1" ht="14.25">
      <c r="A41" s="785" t="s">
        <v>315</v>
      </c>
      <c r="B41" s="786"/>
      <c r="C41" s="786"/>
      <c r="D41" s="786"/>
      <c r="E41" s="480"/>
      <c r="F41" s="485"/>
      <c r="G41" s="482"/>
      <c r="H41" s="486"/>
      <c r="I41" s="453"/>
      <c r="J41" s="459"/>
      <c r="K41" s="49"/>
      <c r="L41" s="49"/>
      <c r="M41" s="113"/>
      <c r="N41" s="453">
        <f>I41+[1]收支!$N$41</f>
        <v>0</v>
      </c>
    </row>
    <row r="42" spans="1:14" s="469" customFormat="1" ht="14.25">
      <c r="A42" s="785" t="s">
        <v>438</v>
      </c>
      <c r="B42" s="786"/>
      <c r="C42" s="786"/>
      <c r="D42" s="786"/>
      <c r="E42" s="480"/>
      <c r="F42" s="485"/>
      <c r="G42" s="482"/>
      <c r="H42" s="486"/>
      <c r="I42" s="453"/>
      <c r="J42" s="459"/>
      <c r="K42" s="49"/>
      <c r="L42" s="49"/>
      <c r="M42" s="113"/>
      <c r="N42" s="453">
        <f>VLOOKUP(A42,[1]平衡!$N$13:T83,7,0)</f>
        <v>0</v>
      </c>
    </row>
    <row r="43" spans="1:14" s="469" customFormat="1" ht="14.25">
      <c r="A43" s="787" t="s">
        <v>391</v>
      </c>
      <c r="B43" s="788"/>
      <c r="C43" s="788"/>
      <c r="D43" s="788"/>
      <c r="E43" s="487"/>
      <c r="F43" s="488"/>
      <c r="G43" s="489"/>
      <c r="H43" s="490"/>
      <c r="I43" s="491"/>
      <c r="J43" s="492"/>
      <c r="K43" s="493"/>
      <c r="L43" s="493"/>
      <c r="M43" s="494"/>
      <c r="N43" s="495">
        <f>N39+N40-N41+N42</f>
        <v>337357656</v>
      </c>
    </row>
    <row r="44" spans="1:14" s="376" customFormat="1" ht="12.75" hidden="1" customHeight="1">
      <c r="A44" s="304"/>
      <c r="B44" s="304"/>
      <c r="C44" s="304"/>
      <c r="D44" s="304"/>
      <c r="E44" s="377"/>
      <c r="F44" s="377"/>
      <c r="G44" s="377"/>
      <c r="H44" s="377"/>
      <c r="I44" s="377">
        <v>0</v>
      </c>
    </row>
    <row r="45" spans="1:14" s="377" customFormat="1" ht="16.5">
      <c r="A45" s="304" t="s">
        <v>392</v>
      </c>
      <c r="B45" s="304" t="s">
        <v>437</v>
      </c>
      <c r="C45" s="304"/>
      <c r="D45" s="304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31" sqref="A31:XFD31"/>
      <selection pane="topRight" activeCell="A31" sqref="A31:XFD31"/>
      <selection pane="bottomLeft" activeCell="A31" sqref="A31:XFD31"/>
      <selection pane="bottomRight" activeCell="A31" sqref="A31:XFD31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28" t="str">
        <f>封面!$A$4</f>
        <v>彰化縣地方教育發展基金－彰化縣彰化市民生國民小學</v>
      </c>
      <c r="B1" s="728"/>
      <c r="C1" s="728"/>
      <c r="D1" s="728"/>
      <c r="E1" s="728"/>
      <c r="F1" s="728"/>
      <c r="G1" s="618"/>
      <c r="H1" s="618"/>
      <c r="I1" s="618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44" t="s">
        <v>295</v>
      </c>
      <c r="B4" s="744"/>
      <c r="C4" s="744"/>
      <c r="D4" s="744"/>
      <c r="E4" s="744"/>
      <c r="F4" s="744"/>
      <c r="G4" s="618"/>
      <c r="H4" s="618"/>
      <c r="I4" s="618"/>
    </row>
    <row r="5" spans="1:10" ht="6.75" customHeight="1"/>
    <row r="6" spans="1:10" ht="16.5">
      <c r="A6" s="729" t="str">
        <f>封面!$E$10&amp;封面!$H$10&amp;封面!$I$10&amp;封面!$J$10&amp;封面!$K$10&amp;封面!L10</f>
        <v>中華民國114年5月份</v>
      </c>
      <c r="B6" s="729"/>
      <c r="C6" s="729"/>
      <c r="D6" s="729"/>
      <c r="E6" s="729"/>
      <c r="F6" s="729"/>
      <c r="G6" s="618"/>
      <c r="H6" s="618"/>
      <c r="I6" s="618"/>
    </row>
    <row r="7" spans="1:10" ht="16.5">
      <c r="A7" s="695" t="s">
        <v>39</v>
      </c>
      <c r="B7" s="695"/>
      <c r="C7" s="695"/>
      <c r="D7" s="695"/>
      <c r="E7" s="695"/>
      <c r="F7" s="695"/>
      <c r="G7" s="618"/>
      <c r="H7" s="618"/>
      <c r="I7" s="618"/>
    </row>
    <row r="8" spans="1:10" ht="6" customHeight="1"/>
    <row r="9" spans="1:10" s="305" customFormat="1" ht="42.75" customHeight="1">
      <c r="A9" s="799" t="s">
        <v>296</v>
      </c>
      <c r="B9" s="799"/>
      <c r="C9" s="306" t="s">
        <v>297</v>
      </c>
      <c r="D9" s="307" t="s">
        <v>298</v>
      </c>
      <c r="E9" s="307" t="s">
        <v>299</v>
      </c>
      <c r="F9" s="307"/>
      <c r="G9" s="799" t="s">
        <v>300</v>
      </c>
      <c r="H9" s="751"/>
      <c r="I9" s="751"/>
    </row>
    <row r="10" spans="1:10" s="293" customFormat="1" ht="12.75" hidden="1" customHeight="1">
      <c r="A10" s="308"/>
      <c r="B10" s="308"/>
      <c r="C10" s="308"/>
      <c r="D10" s="308"/>
      <c r="E10" s="290"/>
      <c r="F10" s="290"/>
      <c r="G10" s="816" t="s">
        <v>300</v>
      </c>
      <c r="H10" s="749"/>
      <c r="I10" s="749"/>
    </row>
    <row r="11" spans="1:10" s="293" customFormat="1" ht="12.75" hidden="1" customHeight="1">
      <c r="A11" s="308"/>
      <c r="B11" s="308"/>
      <c r="C11" s="308"/>
      <c r="D11" s="308"/>
      <c r="E11" s="308"/>
      <c r="F11" s="308"/>
      <c r="G11" s="816" t="s">
        <v>300</v>
      </c>
      <c r="H11" s="749"/>
      <c r="I11" s="749"/>
    </row>
    <row r="12" spans="1:10" s="293" customFormat="1" ht="9" hidden="1" customHeight="1">
      <c r="A12" s="308"/>
      <c r="B12" s="308"/>
      <c r="C12" s="308"/>
      <c r="D12" s="308"/>
      <c r="E12" s="308"/>
      <c r="F12" s="308"/>
      <c r="G12" s="816" t="s">
        <v>300</v>
      </c>
      <c r="H12" s="749"/>
      <c r="I12" s="749"/>
    </row>
    <row r="13" spans="1:10" s="376" customFormat="1" ht="16.5">
      <c r="A13" s="817" t="s">
        <v>393</v>
      </c>
      <c r="B13" s="817"/>
      <c r="C13" s="366">
        <f>SUM(C14:C17)</f>
        <v>65284716</v>
      </c>
      <c r="D13" s="366">
        <f t="shared" ref="D13:E13" si="0">SUM(D14:D17)</f>
        <v>822567</v>
      </c>
      <c r="E13" s="366">
        <f t="shared" si="0"/>
        <v>66107283</v>
      </c>
      <c r="F13" s="309"/>
      <c r="G13" s="815" t="s">
        <v>394</v>
      </c>
      <c r="H13" s="813"/>
      <c r="I13" s="814"/>
      <c r="J13" s="376">
        <f>D13</f>
        <v>822567</v>
      </c>
    </row>
    <row r="14" spans="1:10" s="376" customFormat="1" ht="16.5">
      <c r="A14" s="302"/>
      <c r="B14" s="375" t="s">
        <v>395</v>
      </c>
      <c r="C14" s="360">
        <v>143644</v>
      </c>
      <c r="D14" s="360"/>
      <c r="E14" s="367">
        <f>C14+D14</f>
        <v>143644</v>
      </c>
      <c r="F14" s="309"/>
      <c r="G14" s="303"/>
      <c r="H14" s="813" t="s">
        <v>395</v>
      </c>
      <c r="I14" s="814"/>
      <c r="J14" s="376">
        <f t="shared" ref="J14:J33" si="1">D14</f>
        <v>0</v>
      </c>
    </row>
    <row r="15" spans="1:10" s="376" customFormat="1" ht="16.5">
      <c r="A15" s="302"/>
      <c r="B15" s="375" t="s">
        <v>396</v>
      </c>
      <c r="C15" s="360">
        <v>1383</v>
      </c>
      <c r="D15" s="360">
        <v>822567</v>
      </c>
      <c r="E15" s="367">
        <f t="shared" ref="E15:E16" si="2">C15+D15</f>
        <v>823950</v>
      </c>
      <c r="F15" s="309"/>
      <c r="G15" s="303"/>
      <c r="H15" s="813" t="s">
        <v>397</v>
      </c>
      <c r="I15" s="814"/>
      <c r="J15" s="376">
        <f t="shared" si="1"/>
        <v>822567</v>
      </c>
    </row>
    <row r="16" spans="1:10" s="376" customFormat="1" ht="16.5">
      <c r="A16" s="302"/>
      <c r="B16" s="375" t="s">
        <v>398</v>
      </c>
      <c r="C16" s="360">
        <v>65139255</v>
      </c>
      <c r="D16" s="360"/>
      <c r="E16" s="367">
        <f t="shared" si="2"/>
        <v>65139255</v>
      </c>
      <c r="F16" s="309"/>
      <c r="G16" s="303"/>
      <c r="H16" s="813" t="s">
        <v>20</v>
      </c>
      <c r="I16" s="814"/>
      <c r="J16" s="376">
        <f t="shared" si="1"/>
        <v>0</v>
      </c>
    </row>
    <row r="17" spans="1:10" s="377" customFormat="1" ht="16.5">
      <c r="A17" s="302"/>
      <c r="B17" s="375" t="s">
        <v>399</v>
      </c>
      <c r="C17" s="360">
        <v>434</v>
      </c>
      <c r="D17" s="360"/>
      <c r="E17" s="367">
        <f>C17+D17</f>
        <v>434</v>
      </c>
      <c r="F17" s="309"/>
      <c r="G17" s="303"/>
      <c r="H17" s="813" t="s">
        <v>400</v>
      </c>
      <c r="I17" s="814"/>
      <c r="J17" s="376">
        <f t="shared" si="1"/>
        <v>0</v>
      </c>
    </row>
    <row r="18" spans="1:10" s="377" customFormat="1" ht="16.5">
      <c r="A18" s="815" t="s">
        <v>401</v>
      </c>
      <c r="B18" s="814"/>
      <c r="C18" s="368">
        <f>SUM(C19:C28)</f>
        <v>66912321</v>
      </c>
      <c r="D18" s="368">
        <f>SUM(D19:D28)</f>
        <v>4947669</v>
      </c>
      <c r="E18" s="368">
        <f>SUM(E19:E28)</f>
        <v>71859990</v>
      </c>
      <c r="F18" s="310"/>
      <c r="G18" s="815" t="s">
        <v>402</v>
      </c>
      <c r="H18" s="813"/>
      <c r="I18" s="814"/>
      <c r="J18" s="376">
        <f t="shared" si="1"/>
        <v>4947669</v>
      </c>
    </row>
    <row r="19" spans="1:10" s="377" customFormat="1" ht="16.5">
      <c r="A19" s="302"/>
      <c r="B19" s="375" t="s">
        <v>403</v>
      </c>
      <c r="C19" s="360">
        <v>65265185</v>
      </c>
      <c r="D19" s="360"/>
      <c r="E19" s="367">
        <f>C19+D19</f>
        <v>65265185</v>
      </c>
      <c r="F19" s="309"/>
      <c r="G19" s="303"/>
      <c r="H19" s="813" t="s">
        <v>404</v>
      </c>
      <c r="I19" s="814"/>
      <c r="J19" s="376">
        <f t="shared" si="1"/>
        <v>0</v>
      </c>
    </row>
    <row r="20" spans="1:10" s="377" customFormat="1" ht="16.5">
      <c r="A20" s="302"/>
      <c r="B20" s="375" t="s">
        <v>405</v>
      </c>
      <c r="C20" s="360">
        <v>1395110</v>
      </c>
      <c r="D20" s="360">
        <v>215101</v>
      </c>
      <c r="E20" s="367">
        <f>C20+D20</f>
        <v>1610211</v>
      </c>
      <c r="F20" s="309"/>
      <c r="G20" s="303"/>
      <c r="H20" s="374" t="s">
        <v>406</v>
      </c>
      <c r="I20" s="375"/>
      <c r="J20" s="376"/>
    </row>
    <row r="21" spans="1:10" s="377" customFormat="1" ht="16.5">
      <c r="A21" s="302"/>
      <c r="B21" s="375" t="s">
        <v>407</v>
      </c>
      <c r="C21" s="360">
        <v>181201</v>
      </c>
      <c r="D21" s="360">
        <v>-181201</v>
      </c>
      <c r="E21" s="367">
        <f t="shared" ref="E21:E33" si="3">C21+D21</f>
        <v>0</v>
      </c>
      <c r="F21" s="309"/>
      <c r="G21" s="303"/>
      <c r="H21" s="374"/>
      <c r="I21" s="375"/>
      <c r="J21" s="376"/>
    </row>
    <row r="22" spans="1:10" s="377" customFormat="1" ht="16.5" hidden="1">
      <c r="A22" s="302"/>
      <c r="B22" s="375" t="s">
        <v>408</v>
      </c>
      <c r="C22" s="360"/>
      <c r="D22" s="360"/>
      <c r="E22" s="367">
        <f t="shared" si="3"/>
        <v>0</v>
      </c>
      <c r="F22" s="309"/>
      <c r="G22" s="303"/>
      <c r="H22" s="374"/>
      <c r="I22" s="375"/>
      <c r="J22" s="376"/>
    </row>
    <row r="23" spans="1:10" s="377" customFormat="1" ht="16.5" hidden="1">
      <c r="A23" s="302"/>
      <c r="B23" s="375" t="s">
        <v>409</v>
      </c>
      <c r="C23" s="360"/>
      <c r="D23" s="360"/>
      <c r="E23" s="367">
        <f t="shared" si="3"/>
        <v>0</v>
      </c>
      <c r="F23" s="309"/>
      <c r="G23" s="303"/>
      <c r="H23" s="374"/>
      <c r="I23" s="375"/>
      <c r="J23" s="376"/>
    </row>
    <row r="24" spans="1:10" s="377" customFormat="1" ht="33">
      <c r="A24" s="302"/>
      <c r="B24" s="375" t="s">
        <v>410</v>
      </c>
      <c r="C24" s="360">
        <v>33900</v>
      </c>
      <c r="D24" s="360">
        <v>-33900</v>
      </c>
      <c r="E24" s="367">
        <f t="shared" si="3"/>
        <v>0</v>
      </c>
      <c r="F24" s="309"/>
      <c r="G24" s="303"/>
      <c r="H24" s="374"/>
      <c r="I24" s="375"/>
      <c r="J24" s="376"/>
    </row>
    <row r="25" spans="1:10" s="377" customFormat="1" ht="16.5">
      <c r="A25" s="302"/>
      <c r="B25" s="375"/>
      <c r="C25" s="360"/>
      <c r="D25" s="360">
        <v>8482</v>
      </c>
      <c r="E25" s="367">
        <f t="shared" si="3"/>
        <v>8482</v>
      </c>
      <c r="F25" s="309"/>
      <c r="G25" s="303"/>
      <c r="H25" s="374" t="s">
        <v>411</v>
      </c>
      <c r="I25" s="375"/>
      <c r="J25" s="376"/>
    </row>
    <row r="26" spans="1:10" s="377" customFormat="1" ht="33" hidden="1">
      <c r="A26" s="302"/>
      <c r="B26" s="375" t="s">
        <v>450</v>
      </c>
      <c r="C26" s="360"/>
      <c r="D26" s="360"/>
      <c r="E26" s="367"/>
      <c r="F26" s="309"/>
      <c r="G26" s="303"/>
      <c r="H26" s="374"/>
      <c r="I26" s="375"/>
      <c r="J26" s="376"/>
    </row>
    <row r="27" spans="1:10" s="377" customFormat="1" ht="16.5">
      <c r="A27" s="302"/>
      <c r="B27" s="312"/>
      <c r="C27" s="360"/>
      <c r="D27" s="360">
        <v>4939187</v>
      </c>
      <c r="E27" s="367">
        <f t="shared" si="3"/>
        <v>4939187</v>
      </c>
      <c r="F27" s="309"/>
      <c r="G27" s="303"/>
      <c r="H27" s="813" t="s">
        <v>412</v>
      </c>
      <c r="I27" s="814"/>
      <c r="J27" s="376">
        <f t="shared" si="1"/>
        <v>4939187</v>
      </c>
    </row>
    <row r="28" spans="1:10" s="377" customFormat="1" ht="16.5">
      <c r="A28" s="302"/>
      <c r="B28" s="312" t="s">
        <v>413</v>
      </c>
      <c r="C28" s="360">
        <v>36925</v>
      </c>
      <c r="D28" s="360"/>
      <c r="E28" s="367">
        <f t="shared" si="3"/>
        <v>36925</v>
      </c>
      <c r="F28" s="309"/>
      <c r="G28" s="303"/>
      <c r="H28" s="374" t="s">
        <v>414</v>
      </c>
      <c r="I28" s="375"/>
      <c r="J28" s="376"/>
    </row>
    <row r="29" spans="1:10" s="377" customFormat="1" ht="16.5">
      <c r="A29" s="803" t="s">
        <v>316</v>
      </c>
      <c r="B29" s="803"/>
      <c r="C29" s="366">
        <f>C13-C18</f>
        <v>-1627605</v>
      </c>
      <c r="D29" s="366">
        <f>D13-D18</f>
        <v>-4125102</v>
      </c>
      <c r="E29" s="366">
        <f>E13-E18</f>
        <v>-5752707</v>
      </c>
      <c r="F29" s="309"/>
      <c r="G29" s="804" t="s">
        <v>316</v>
      </c>
      <c r="H29" s="805"/>
      <c r="I29" s="806"/>
      <c r="J29" s="376">
        <f t="shared" si="1"/>
        <v>-4125102</v>
      </c>
    </row>
    <row r="30" spans="1:10" s="377" customFormat="1" ht="16.5">
      <c r="A30" s="803" t="s">
        <v>24</v>
      </c>
      <c r="B30" s="803"/>
      <c r="C30" s="409">
        <f>[2]對照表!$C33</f>
        <v>8616300</v>
      </c>
      <c r="D30" s="409">
        <f>[2]對照表!$D33</f>
        <v>334494063</v>
      </c>
      <c r="E30" s="368">
        <f t="shared" si="3"/>
        <v>343110363</v>
      </c>
      <c r="F30" s="310"/>
      <c r="G30" s="804" t="s">
        <v>314</v>
      </c>
      <c r="H30" s="805"/>
      <c r="I30" s="806"/>
      <c r="J30" s="376">
        <f t="shared" si="1"/>
        <v>334494063</v>
      </c>
    </row>
    <row r="31" spans="1:10" s="377" customFormat="1" ht="16.5">
      <c r="A31" s="803" t="s">
        <v>315</v>
      </c>
      <c r="B31" s="803"/>
      <c r="C31" s="365"/>
      <c r="D31" s="365"/>
      <c r="E31" s="366">
        <f t="shared" si="3"/>
        <v>0</v>
      </c>
      <c r="F31" s="309"/>
      <c r="G31" s="804" t="s">
        <v>315</v>
      </c>
      <c r="H31" s="805"/>
      <c r="I31" s="806"/>
      <c r="J31" s="376">
        <f t="shared" si="1"/>
        <v>0</v>
      </c>
    </row>
    <row r="32" spans="1:10" s="377" customFormat="1" ht="16.5">
      <c r="A32" s="432"/>
      <c r="B32" s="433"/>
      <c r="C32" s="365"/>
      <c r="D32" s="365">
        <f>VLOOKUP(G32,平衡!$N$13:T48,7,0)</f>
        <v>0</v>
      </c>
      <c r="E32" s="366">
        <f t="shared" si="3"/>
        <v>0</v>
      </c>
      <c r="F32" s="309"/>
      <c r="G32" s="804" t="s">
        <v>438</v>
      </c>
      <c r="H32" s="811"/>
      <c r="I32" s="812"/>
      <c r="J32" s="376"/>
    </row>
    <row r="33" spans="1:10" s="377" customFormat="1" ht="16.5">
      <c r="A33" s="807" t="s">
        <v>26</v>
      </c>
      <c r="B33" s="807"/>
      <c r="C33" s="369">
        <f>C29+C30-C31</f>
        <v>6988695</v>
      </c>
      <c r="D33" s="369">
        <f>D29+D30-D31+D32</f>
        <v>330368961</v>
      </c>
      <c r="E33" s="369">
        <f t="shared" si="3"/>
        <v>337357656</v>
      </c>
      <c r="F33" s="311"/>
      <c r="G33" s="808" t="s">
        <v>317</v>
      </c>
      <c r="H33" s="809"/>
      <c r="I33" s="810"/>
      <c r="J33" s="376">
        <f t="shared" si="1"/>
        <v>330368961</v>
      </c>
    </row>
    <row r="34" spans="1:10" s="376" customFormat="1" ht="12.75" hidden="1" customHeight="1">
      <c r="A34" s="377"/>
      <c r="B34" s="377"/>
      <c r="C34" s="377"/>
      <c r="D34" s="377"/>
      <c r="E34" s="377"/>
      <c r="F34" s="377"/>
      <c r="G34" s="377"/>
      <c r="H34" s="377"/>
    </row>
    <row r="35" spans="1:10" s="377" customFormat="1" ht="19.5" customHeight="1">
      <c r="A35" s="304" t="s">
        <v>415</v>
      </c>
    </row>
  </sheetData>
  <mergeCells count="28"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  <mergeCell ref="H17:I17"/>
    <mergeCell ref="H16:I16"/>
    <mergeCell ref="G18:I18"/>
    <mergeCell ref="H19:I19"/>
    <mergeCell ref="H27:I27"/>
    <mergeCell ref="A30:B30"/>
    <mergeCell ref="G30:I30"/>
    <mergeCell ref="A31:B31"/>
    <mergeCell ref="G31:I31"/>
    <mergeCell ref="A33:B33"/>
    <mergeCell ref="G33:I33"/>
    <mergeCell ref="G32:I3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A31" sqref="A31:XFD31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819" t="str">
        <f>封面!$A$4</f>
        <v>彰化縣地方教育發展基金－彰化縣彰化市民生國民小學</v>
      </c>
      <c r="B1" s="820"/>
      <c r="C1" s="820"/>
    </row>
    <row r="2" spans="1:5" ht="25.5" customHeight="1">
      <c r="A2" s="821" t="s">
        <v>70</v>
      </c>
      <c r="B2" s="821"/>
      <c r="C2" s="821"/>
    </row>
    <row r="3" spans="1:5" ht="24" customHeight="1">
      <c r="A3" s="822" t="str">
        <f>封面!$E$10&amp;封面!$H$10&amp;封面!$I$10&amp;封面!$J$10&amp;封面!$K$10&amp;封面!$O$10&amp;"日"</f>
        <v>中華民國114年5月31日</v>
      </c>
      <c r="B3" s="822"/>
      <c r="C3" s="822"/>
    </row>
    <row r="4" spans="1:5" s="24" customFormat="1" ht="23.25" customHeight="1">
      <c r="A4" s="823"/>
      <c r="B4" s="823" t="s">
        <v>71</v>
      </c>
      <c r="C4" s="823"/>
    </row>
    <row r="5" spans="1:5" s="24" customFormat="1" ht="23.25" customHeight="1">
      <c r="A5" s="823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6928695</v>
      </c>
    </row>
    <row r="7" spans="1:5" ht="24" customHeight="1">
      <c r="A7" s="189" t="s">
        <v>192</v>
      </c>
      <c r="B7" s="97">
        <f>VLOOKUP("銀行存款-縣庫存款",平衡!$E$13:$H$48,4,0)</f>
        <v>6928695</v>
      </c>
      <c r="C7" s="97"/>
    </row>
    <row r="8" spans="1:5" ht="24" customHeight="1">
      <c r="A8" s="90" t="s">
        <v>151</v>
      </c>
      <c r="B8" s="97"/>
      <c r="C8" s="327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0"/>
      <c r="B11" s="97"/>
      <c r="C11" s="97"/>
    </row>
    <row r="12" spans="1:5" ht="24" customHeight="1">
      <c r="A12" s="190"/>
      <c r="B12" s="97"/>
      <c r="C12" s="97"/>
    </row>
    <row r="13" spans="1:5" ht="24" customHeight="1">
      <c r="A13" s="190"/>
      <c r="B13" s="97"/>
      <c r="C13" s="314"/>
      <c r="D13" s="315"/>
      <c r="E13" s="315"/>
    </row>
    <row r="14" spans="1:5" ht="24" customHeight="1">
      <c r="A14" s="190"/>
      <c r="B14" s="97"/>
      <c r="C14" s="314"/>
      <c r="D14" s="315"/>
      <c r="E14" s="315"/>
    </row>
    <row r="15" spans="1:5" ht="24" customHeight="1">
      <c r="A15" s="25" t="s">
        <v>77</v>
      </c>
      <c r="B15" s="97"/>
      <c r="C15" s="327">
        <f>SUM(B16:B17)</f>
        <v>9403000</v>
      </c>
      <c r="D15" s="315"/>
      <c r="E15" s="315"/>
    </row>
    <row r="16" spans="1:5" ht="24" customHeight="1">
      <c r="A16" s="241" t="str">
        <f>IF(B16&gt;0,封面!J10+1&amp;"月公庫撥款收入","")</f>
        <v>6月公庫撥款收入</v>
      </c>
      <c r="B16" s="97">
        <v>9403000</v>
      </c>
      <c r="C16" s="314"/>
      <c r="D16" s="315"/>
      <c r="E16" s="315"/>
    </row>
    <row r="17" spans="1:5" ht="24" customHeight="1">
      <c r="A17" s="189"/>
      <c r="B17" s="97"/>
      <c r="C17" s="314"/>
      <c r="D17" s="315"/>
      <c r="E17" s="315"/>
    </row>
    <row r="18" spans="1:5" ht="24" customHeight="1">
      <c r="A18" s="25" t="s">
        <v>78</v>
      </c>
      <c r="B18" s="97"/>
      <c r="C18" s="327">
        <f>SUM(B19:B20)</f>
        <v>0</v>
      </c>
      <c r="D18" s="315"/>
      <c r="E18" s="315"/>
    </row>
    <row r="19" spans="1:5" ht="24" customHeight="1">
      <c r="A19" s="190"/>
      <c r="B19" s="97"/>
      <c r="C19" s="314"/>
      <c r="D19" s="315"/>
      <c r="E19" s="315"/>
    </row>
    <row r="20" spans="1:5" ht="24" customHeight="1">
      <c r="A20" s="189"/>
      <c r="B20" s="97"/>
      <c r="C20" s="314"/>
      <c r="D20" s="315"/>
      <c r="E20" s="315"/>
    </row>
    <row r="21" spans="1:5" ht="24" customHeight="1">
      <c r="A21" s="25" t="s">
        <v>79</v>
      </c>
      <c r="B21" s="97"/>
      <c r="C21" s="327">
        <f>SUM(B22:B23)</f>
        <v>0</v>
      </c>
      <c r="D21" s="315"/>
      <c r="E21" s="315"/>
    </row>
    <row r="22" spans="1:5" ht="24" customHeight="1">
      <c r="A22" s="189"/>
      <c r="B22" s="97"/>
      <c r="C22" s="314"/>
      <c r="D22" s="315"/>
      <c r="E22" s="315"/>
    </row>
    <row r="23" spans="1:5" ht="24" customHeight="1">
      <c r="A23" s="189"/>
      <c r="B23" s="97"/>
      <c r="C23" s="97"/>
    </row>
    <row r="24" spans="1:5" ht="24" customHeight="1">
      <c r="A24" s="25" t="s">
        <v>182</v>
      </c>
      <c r="B24" s="97"/>
      <c r="C24" s="98">
        <f>C6+C8+C15-C18-C21</f>
        <v>16331695</v>
      </c>
      <c r="D24" s="22">
        <f>VLOOKUP(1,縣庫對帳!$A$4:$L$100,12)</f>
        <v>16331695</v>
      </c>
      <c r="E24" s="22">
        <f>C24-D24</f>
        <v>0</v>
      </c>
    </row>
    <row r="25" spans="1:5" ht="24" customHeight="1">
      <c r="A25" s="189"/>
      <c r="B25" s="97"/>
      <c r="C25" s="97"/>
    </row>
    <row r="27" spans="1:5">
      <c r="A27" s="818"/>
      <c r="B27" s="818"/>
      <c r="C27" s="818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D24">
    <cfRule type="cellIs" dxfId="12" priority="1" operator="notEqual">
      <formula>$C$24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C29" sqref="C29"/>
      <selection pane="topRight" activeCell="C29" sqref="C29"/>
      <selection pane="bottomLeft" activeCell="C29" sqref="C29"/>
      <selection pane="bottomRight" activeCell="A23" sqref="A23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7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7"/>
      <c r="B1" s="824" t="s">
        <v>448</v>
      </c>
      <c r="C1" s="824"/>
      <c r="D1" s="824"/>
      <c r="E1" s="824"/>
      <c r="F1" s="824"/>
      <c r="G1" s="824"/>
      <c r="H1" s="824"/>
      <c r="I1" s="824"/>
      <c r="J1" s="824"/>
      <c r="K1" s="824"/>
      <c r="L1" s="824"/>
      <c r="M1" s="127"/>
      <c r="N1" s="46"/>
      <c r="O1" s="46"/>
      <c r="P1" s="46"/>
      <c r="Q1" s="403"/>
      <c r="R1" s="46"/>
      <c r="S1" s="46"/>
      <c r="T1" s="46"/>
      <c r="U1" s="46"/>
      <c r="V1" s="47"/>
    </row>
    <row r="2" spans="1:22" s="48" customFormat="1" ht="33">
      <c r="A2" s="127"/>
      <c r="B2" s="825" t="str">
        <f>封面!$E$10&amp;封面!$H$10&amp;封面!$I$10&amp;封面!$J$10&amp;封面!$K$10&amp;封面!L10</f>
        <v>中華民國114年5月份</v>
      </c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128"/>
      <c r="N2" s="133" t="s">
        <v>157</v>
      </c>
      <c r="O2" s="133"/>
      <c r="P2" s="133" t="s">
        <v>156</v>
      </c>
      <c r="Q2" s="404"/>
    </row>
    <row r="3" spans="1:22" s="56" customFormat="1">
      <c r="B3" s="153" t="s">
        <v>170</v>
      </c>
      <c r="C3" s="153" t="s">
        <v>171</v>
      </c>
      <c r="D3" s="153" t="s">
        <v>172</v>
      </c>
      <c r="E3" s="154" t="s">
        <v>173</v>
      </c>
      <c r="F3" s="154" t="s">
        <v>80</v>
      </c>
      <c r="G3" s="155" t="s">
        <v>174</v>
      </c>
      <c r="H3" s="156" t="s">
        <v>175</v>
      </c>
      <c r="I3" s="156" t="s">
        <v>4</v>
      </c>
      <c r="J3" s="156" t="s">
        <v>176</v>
      </c>
      <c r="K3" s="156" t="s">
        <v>177</v>
      </c>
      <c r="L3" s="156" t="s">
        <v>81</v>
      </c>
      <c r="M3" s="57"/>
      <c r="N3" s="167">
        <f>VLOOKUP(1,$A$4:$L$98,10,0)-N4+N5-P9</f>
        <v>65284716</v>
      </c>
      <c r="O3" s="167"/>
      <c r="P3" s="167" t="e">
        <f>VLOOKUP(1,$A$4:$L$98,11,0)-P4+P5-P6+P7-P8-P9</f>
        <v>#N/A</v>
      </c>
      <c r="Q3" s="58"/>
    </row>
    <row r="4" spans="1:22">
      <c r="B4" s="157" t="s">
        <v>694</v>
      </c>
      <c r="C4" s="158" t="s">
        <v>695</v>
      </c>
      <c r="D4" s="158"/>
      <c r="E4" s="158"/>
      <c r="F4" s="158"/>
      <c r="G4" s="158"/>
      <c r="H4" s="158" t="s">
        <v>696</v>
      </c>
      <c r="I4" s="159"/>
      <c r="J4" s="159">
        <v>74518855</v>
      </c>
      <c r="K4" s="159">
        <v>56746050</v>
      </c>
      <c r="L4" s="159">
        <v>17772805</v>
      </c>
      <c r="M4" s="188" t="s">
        <v>184</v>
      </c>
      <c r="N4" s="168">
        <v>9234139</v>
      </c>
      <c r="O4" s="169" t="s">
        <v>185</v>
      </c>
      <c r="P4" s="170">
        <f>VLOOKUP("零用及週轉金",平衡!$D$13:$H$49,5,0)</f>
        <v>60000</v>
      </c>
      <c r="Q4" s="405"/>
    </row>
    <row r="5" spans="1:22">
      <c r="B5" s="157" t="s">
        <v>694</v>
      </c>
      <c r="C5" s="158" t="s">
        <v>695</v>
      </c>
      <c r="D5" s="158" t="s">
        <v>697</v>
      </c>
      <c r="E5" s="563">
        <v>60</v>
      </c>
      <c r="F5" s="157" t="s">
        <v>983</v>
      </c>
      <c r="G5" s="158"/>
      <c r="H5" s="158" t="s">
        <v>698</v>
      </c>
      <c r="I5" s="159">
        <v>16000</v>
      </c>
      <c r="J5" s="159">
        <v>74518855</v>
      </c>
      <c r="K5" s="159">
        <v>56762050</v>
      </c>
      <c r="L5" s="159">
        <v>17756805</v>
      </c>
      <c r="M5" s="169" t="s">
        <v>186</v>
      </c>
      <c r="N5" s="170">
        <f>-庫款差額!C15+庫款差額!C18</f>
        <v>-9403000</v>
      </c>
      <c r="O5" s="169" t="s">
        <v>186</v>
      </c>
      <c r="P5" s="170">
        <f>庫款差額!C8-庫款差額!C21</f>
        <v>0</v>
      </c>
      <c r="Q5" s="405"/>
    </row>
    <row r="6" spans="1:22" ht="22.5">
      <c r="B6" s="157" t="s">
        <v>694</v>
      </c>
      <c r="C6" s="158" t="s">
        <v>695</v>
      </c>
      <c r="D6" s="158" t="s">
        <v>697</v>
      </c>
      <c r="E6" s="563">
        <v>61</v>
      </c>
      <c r="F6" s="157" t="s">
        <v>699</v>
      </c>
      <c r="G6" s="158"/>
      <c r="H6" s="158" t="s">
        <v>698</v>
      </c>
      <c r="I6" s="159">
        <v>257816</v>
      </c>
      <c r="J6" s="159">
        <v>74518855</v>
      </c>
      <c r="K6" s="159">
        <v>57019866</v>
      </c>
      <c r="L6" s="159">
        <v>17498989</v>
      </c>
      <c r="M6" s="99"/>
      <c r="N6" s="171"/>
      <c r="O6" s="172" t="s">
        <v>190</v>
      </c>
      <c r="P6" s="170">
        <v>617839</v>
      </c>
      <c r="Q6" s="405"/>
    </row>
    <row r="7" spans="1:22" ht="22.5">
      <c r="B7" s="157" t="s">
        <v>694</v>
      </c>
      <c r="C7" s="158" t="s">
        <v>695</v>
      </c>
      <c r="D7" s="158" t="s">
        <v>700</v>
      </c>
      <c r="E7" s="563">
        <v>62</v>
      </c>
      <c r="F7" s="157" t="s">
        <v>701</v>
      </c>
      <c r="G7" s="158"/>
      <c r="H7" s="158" t="s">
        <v>698</v>
      </c>
      <c r="I7" s="159">
        <v>53508</v>
      </c>
      <c r="J7" s="159">
        <v>74518855</v>
      </c>
      <c r="K7" s="159">
        <v>57073374</v>
      </c>
      <c r="L7" s="159">
        <v>17445481</v>
      </c>
      <c r="M7" s="99"/>
      <c r="N7" s="171"/>
      <c r="O7" s="172" t="s">
        <v>191</v>
      </c>
      <c r="P7" s="170">
        <f>IF(Q7=0,0,VLOOKUP("應付費用",平衡!$N$13:$T$48,7,0))</f>
        <v>0</v>
      </c>
      <c r="Q7" s="405">
        <v>1</v>
      </c>
    </row>
    <row r="8" spans="1:22">
      <c r="B8" s="157" t="s">
        <v>694</v>
      </c>
      <c r="C8" s="158" t="s">
        <v>695</v>
      </c>
      <c r="D8" s="158" t="s">
        <v>702</v>
      </c>
      <c r="E8" s="563">
        <v>63</v>
      </c>
      <c r="F8" s="157" t="s">
        <v>703</v>
      </c>
      <c r="G8" s="158"/>
      <c r="H8" s="158" t="s">
        <v>698</v>
      </c>
      <c r="I8" s="159">
        <v>69313</v>
      </c>
      <c r="J8" s="159">
        <v>74518855</v>
      </c>
      <c r="K8" s="159">
        <v>57142687</v>
      </c>
      <c r="L8" s="159">
        <v>17376168</v>
      </c>
      <c r="M8" s="99"/>
      <c r="N8" s="171"/>
      <c r="O8" s="170" t="s">
        <v>439</v>
      </c>
      <c r="P8" s="170" t="e">
        <f>VLOOKUP("預付費用",平衡!$D$13:$H$46,5,0)</f>
        <v>#N/A</v>
      </c>
      <c r="Q8" s="405"/>
    </row>
    <row r="9" spans="1:22">
      <c r="B9" s="157" t="s">
        <v>694</v>
      </c>
      <c r="C9" s="158" t="s">
        <v>695</v>
      </c>
      <c r="D9" s="158" t="s">
        <v>704</v>
      </c>
      <c r="E9" s="563">
        <v>64</v>
      </c>
      <c r="F9" s="157" t="s">
        <v>705</v>
      </c>
      <c r="G9" s="158"/>
      <c r="H9" s="158" t="s">
        <v>698</v>
      </c>
      <c r="I9" s="159">
        <v>18594</v>
      </c>
      <c r="J9" s="159">
        <v>74518855</v>
      </c>
      <c r="K9" s="159">
        <v>57161281</v>
      </c>
      <c r="L9" s="159">
        <v>17357574</v>
      </c>
      <c r="M9" s="99"/>
      <c r="N9" s="27"/>
      <c r="O9" s="170" t="s">
        <v>187</v>
      </c>
      <c r="P9" s="170"/>
      <c r="Q9" s="405"/>
    </row>
    <row r="10" spans="1:22">
      <c r="B10" s="157" t="s">
        <v>694</v>
      </c>
      <c r="C10" s="158" t="s">
        <v>695</v>
      </c>
      <c r="D10" s="158" t="s">
        <v>704</v>
      </c>
      <c r="E10" s="563">
        <v>65</v>
      </c>
      <c r="F10" s="157" t="s">
        <v>706</v>
      </c>
      <c r="G10" s="158"/>
      <c r="H10" s="158" t="s">
        <v>698</v>
      </c>
      <c r="I10" s="159">
        <v>93000</v>
      </c>
      <c r="J10" s="159">
        <v>74518855</v>
      </c>
      <c r="K10" s="159">
        <v>57254281</v>
      </c>
      <c r="L10" s="159">
        <v>17264574</v>
      </c>
      <c r="M10" s="99"/>
      <c r="N10" s="27"/>
      <c r="O10" s="27"/>
      <c r="P10" s="27"/>
      <c r="Q10" s="405"/>
    </row>
    <row r="11" spans="1:22">
      <c r="B11" s="157" t="s">
        <v>694</v>
      </c>
      <c r="C11" s="158" t="s">
        <v>695</v>
      </c>
      <c r="D11" s="158" t="s">
        <v>707</v>
      </c>
      <c r="E11" s="563">
        <v>66</v>
      </c>
      <c r="F11" s="157" t="s">
        <v>708</v>
      </c>
      <c r="G11" s="158"/>
      <c r="H11" s="158" t="s">
        <v>698</v>
      </c>
      <c r="I11" s="159">
        <v>10000</v>
      </c>
      <c r="J11" s="159">
        <v>74518855</v>
      </c>
      <c r="K11" s="159">
        <v>57264281</v>
      </c>
      <c r="L11" s="159">
        <v>17254574</v>
      </c>
      <c r="M11" s="99"/>
      <c r="N11" s="27"/>
      <c r="O11" s="27"/>
      <c r="P11" s="27"/>
      <c r="Q11" s="405"/>
    </row>
    <row r="12" spans="1:22">
      <c r="B12" s="157" t="s">
        <v>694</v>
      </c>
      <c r="C12" s="158" t="s">
        <v>695</v>
      </c>
      <c r="D12" s="158" t="s">
        <v>709</v>
      </c>
      <c r="E12" s="563">
        <v>67</v>
      </c>
      <c r="F12" s="157" t="s">
        <v>710</v>
      </c>
      <c r="G12" s="158"/>
      <c r="H12" s="158" t="s">
        <v>698</v>
      </c>
      <c r="I12" s="159">
        <v>1114611</v>
      </c>
      <c r="J12" s="159">
        <v>74518855</v>
      </c>
      <c r="K12" s="159">
        <v>58378892</v>
      </c>
      <c r="L12" s="159">
        <v>16139963</v>
      </c>
      <c r="M12" s="99"/>
      <c r="N12" s="27"/>
      <c r="O12" s="27"/>
      <c r="P12" s="27"/>
      <c r="Q12" s="405"/>
    </row>
    <row r="13" spans="1:22">
      <c r="B13" s="157" t="s">
        <v>694</v>
      </c>
      <c r="C13" s="313" t="s">
        <v>695</v>
      </c>
      <c r="D13" s="313" t="s">
        <v>711</v>
      </c>
      <c r="E13" s="563">
        <v>69</v>
      </c>
      <c r="F13" s="157" t="s">
        <v>712</v>
      </c>
      <c r="G13" s="158"/>
      <c r="H13" s="158" t="s">
        <v>698</v>
      </c>
      <c r="I13" s="159">
        <v>52000</v>
      </c>
      <c r="J13" s="159">
        <v>74518855</v>
      </c>
      <c r="K13" s="159">
        <v>58430892</v>
      </c>
      <c r="L13" s="159">
        <v>16087963</v>
      </c>
      <c r="M13" s="99"/>
      <c r="N13" s="27"/>
      <c r="O13" s="27"/>
      <c r="P13" s="27"/>
      <c r="Q13" s="405"/>
    </row>
    <row r="14" spans="1:22">
      <c r="B14" s="157" t="s">
        <v>694</v>
      </c>
      <c r="C14" s="313" t="s">
        <v>695</v>
      </c>
      <c r="D14" s="313" t="s">
        <v>713</v>
      </c>
      <c r="E14" s="563">
        <v>71</v>
      </c>
      <c r="F14" s="157" t="s">
        <v>714</v>
      </c>
      <c r="G14" s="158"/>
      <c r="H14" s="158" t="s">
        <v>698</v>
      </c>
      <c r="I14" s="159">
        <v>16000</v>
      </c>
      <c r="J14" s="159">
        <v>74518855</v>
      </c>
      <c r="K14" s="159">
        <v>58446892</v>
      </c>
      <c r="L14" s="159">
        <v>16071963</v>
      </c>
      <c r="M14" s="99"/>
      <c r="N14" s="27"/>
      <c r="O14" s="27"/>
      <c r="P14" s="27"/>
      <c r="Q14" s="405"/>
    </row>
    <row r="15" spans="1:22">
      <c r="B15" s="157" t="s">
        <v>694</v>
      </c>
      <c r="C15" s="313" t="s">
        <v>695</v>
      </c>
      <c r="D15" s="313" t="s">
        <v>715</v>
      </c>
      <c r="E15" s="563">
        <v>72</v>
      </c>
      <c r="F15" s="157" t="s">
        <v>716</v>
      </c>
      <c r="G15" s="158"/>
      <c r="H15" s="158" t="s">
        <v>698</v>
      </c>
      <c r="I15" s="159">
        <v>53789</v>
      </c>
      <c r="J15" s="159">
        <v>74518855</v>
      </c>
      <c r="K15" s="159">
        <v>58500681</v>
      </c>
      <c r="L15" s="159">
        <v>16018174</v>
      </c>
      <c r="M15" s="99"/>
      <c r="N15" s="27"/>
      <c r="O15" s="27"/>
      <c r="P15" s="27"/>
      <c r="Q15" s="405"/>
    </row>
    <row r="16" spans="1:22">
      <c r="B16" s="157" t="s">
        <v>694</v>
      </c>
      <c r="C16" s="313" t="s">
        <v>695</v>
      </c>
      <c r="D16" s="313" t="s">
        <v>715</v>
      </c>
      <c r="E16" s="563">
        <v>73</v>
      </c>
      <c r="F16" s="157" t="s">
        <v>717</v>
      </c>
      <c r="G16" s="158"/>
      <c r="H16" s="158" t="s">
        <v>698</v>
      </c>
      <c r="I16" s="159">
        <v>162760</v>
      </c>
      <c r="J16" s="159">
        <v>74518855</v>
      </c>
      <c r="K16" s="159">
        <v>58663441</v>
      </c>
      <c r="L16" s="159">
        <v>15855414</v>
      </c>
      <c r="M16" s="99"/>
      <c r="N16" s="27"/>
      <c r="O16" s="27"/>
      <c r="P16" s="27"/>
      <c r="Q16" s="405"/>
    </row>
    <row r="17" spans="1:19">
      <c r="B17" s="160" t="s">
        <v>694</v>
      </c>
      <c r="C17" s="326" t="s">
        <v>695</v>
      </c>
      <c r="D17" s="326" t="s">
        <v>718</v>
      </c>
      <c r="E17" s="563">
        <v>74</v>
      </c>
      <c r="F17" s="160" t="s">
        <v>719</v>
      </c>
      <c r="G17" s="161"/>
      <c r="H17" s="161" t="s">
        <v>698</v>
      </c>
      <c r="I17" s="161">
        <v>46000</v>
      </c>
      <c r="J17" s="161">
        <v>74518855</v>
      </c>
      <c r="K17" s="161">
        <v>58709441</v>
      </c>
      <c r="L17" s="161">
        <v>15809414</v>
      </c>
      <c r="M17" s="99"/>
      <c r="N17" s="27"/>
      <c r="O17" s="27"/>
      <c r="P17" s="27"/>
      <c r="Q17" s="405"/>
    </row>
    <row r="18" spans="1:19">
      <c r="B18" s="160" t="s">
        <v>694</v>
      </c>
      <c r="C18" s="326" t="s">
        <v>695</v>
      </c>
      <c r="D18" s="326" t="s">
        <v>718</v>
      </c>
      <c r="E18" s="563">
        <v>75</v>
      </c>
      <c r="F18" s="160" t="s">
        <v>720</v>
      </c>
      <c r="G18" s="161"/>
      <c r="H18" s="161" t="s">
        <v>698</v>
      </c>
      <c r="I18" s="161">
        <v>610724</v>
      </c>
      <c r="J18" s="161">
        <v>74518855</v>
      </c>
      <c r="K18" s="161">
        <v>59320165</v>
      </c>
      <c r="L18" s="161">
        <v>15198690</v>
      </c>
      <c r="M18" s="99"/>
      <c r="N18" s="27"/>
      <c r="O18" s="27"/>
      <c r="P18" s="27"/>
      <c r="Q18" s="405"/>
      <c r="S18" s="55"/>
    </row>
    <row r="19" spans="1:19" s="187" customFormat="1">
      <c r="A19" s="184"/>
      <c r="B19" s="160" t="s">
        <v>694</v>
      </c>
      <c r="C19" s="326" t="s">
        <v>695</v>
      </c>
      <c r="D19" s="326" t="s">
        <v>721</v>
      </c>
      <c r="E19" s="563">
        <v>56</v>
      </c>
      <c r="F19" s="160" t="s">
        <v>722</v>
      </c>
      <c r="G19" s="161"/>
      <c r="H19" s="161" t="s">
        <v>723</v>
      </c>
      <c r="I19" s="161">
        <v>45705</v>
      </c>
      <c r="J19" s="161">
        <v>74518855</v>
      </c>
      <c r="K19" s="161">
        <v>59274460</v>
      </c>
      <c r="L19" s="161">
        <v>15244395</v>
      </c>
      <c r="M19" s="185"/>
      <c r="N19" s="186"/>
      <c r="O19" s="27"/>
      <c r="P19" s="27"/>
      <c r="Q19" s="406"/>
    </row>
    <row r="20" spans="1:19" s="187" customFormat="1" ht="14.25">
      <c r="A20" s="184"/>
      <c r="B20" s="160" t="s">
        <v>694</v>
      </c>
      <c r="C20" s="326" t="s">
        <v>695</v>
      </c>
      <c r="D20" s="326" t="s">
        <v>724</v>
      </c>
      <c r="E20" s="563">
        <v>13993240187208</v>
      </c>
      <c r="F20" s="160"/>
      <c r="G20" s="161">
        <v>9403000</v>
      </c>
      <c r="H20" s="161" t="s">
        <v>984</v>
      </c>
      <c r="I20" s="161"/>
      <c r="J20" s="161">
        <v>83921855</v>
      </c>
      <c r="K20" s="161">
        <v>59274460</v>
      </c>
      <c r="L20" s="161">
        <v>24647395</v>
      </c>
      <c r="M20" s="185"/>
      <c r="N20" s="186"/>
      <c r="O20" s="186"/>
      <c r="P20" s="186"/>
      <c r="Q20" s="406"/>
    </row>
    <row r="21" spans="1:19" s="187" customFormat="1" ht="14.25">
      <c r="A21" s="184"/>
      <c r="B21" s="160" t="s">
        <v>694</v>
      </c>
      <c r="C21" s="326" t="s">
        <v>695</v>
      </c>
      <c r="D21" s="326" t="s">
        <v>724</v>
      </c>
      <c r="E21" s="563">
        <v>68</v>
      </c>
      <c r="F21" s="160" t="s">
        <v>725</v>
      </c>
      <c r="G21" s="161"/>
      <c r="H21" s="161" t="s">
        <v>698</v>
      </c>
      <c r="I21" s="161">
        <v>1027047</v>
      </c>
      <c r="J21" s="161">
        <v>83921855</v>
      </c>
      <c r="K21" s="161">
        <v>60301507</v>
      </c>
      <c r="L21" s="161">
        <v>23620348</v>
      </c>
      <c r="M21" s="185"/>
      <c r="N21" s="186"/>
      <c r="O21" s="186"/>
      <c r="P21" s="186"/>
      <c r="Q21" s="406"/>
    </row>
    <row r="22" spans="1:19" s="187" customFormat="1" ht="14.25">
      <c r="A22" s="184"/>
      <c r="B22" s="160" t="s">
        <v>694</v>
      </c>
      <c r="C22" s="326" t="s">
        <v>695</v>
      </c>
      <c r="D22" s="326" t="s">
        <v>724</v>
      </c>
      <c r="E22" s="563">
        <v>70</v>
      </c>
      <c r="F22" s="160" t="s">
        <v>726</v>
      </c>
      <c r="G22" s="161"/>
      <c r="H22" s="161" t="s">
        <v>698</v>
      </c>
      <c r="I22" s="161">
        <v>7238388</v>
      </c>
      <c r="J22" s="161">
        <v>83921855</v>
      </c>
      <c r="K22" s="161">
        <v>67539895</v>
      </c>
      <c r="L22" s="161">
        <v>16381960</v>
      </c>
      <c r="M22" s="185"/>
      <c r="N22" s="186"/>
      <c r="O22" s="186"/>
      <c r="P22" s="186"/>
      <c r="Q22" s="406"/>
    </row>
    <row r="23" spans="1:19">
      <c r="A23" s="56">
        <v>1</v>
      </c>
      <c r="B23" s="160" t="s">
        <v>694</v>
      </c>
      <c r="C23" s="160" t="s">
        <v>695</v>
      </c>
      <c r="D23" s="160" t="s">
        <v>724</v>
      </c>
      <c r="E23" s="533">
        <v>76</v>
      </c>
      <c r="F23" s="533">
        <v>505885</v>
      </c>
      <c r="G23" s="161"/>
      <c r="H23" s="161" t="s">
        <v>698</v>
      </c>
      <c r="I23" s="161">
        <v>50265</v>
      </c>
      <c r="J23" s="161">
        <v>83921855</v>
      </c>
      <c r="K23" s="161">
        <v>67590160</v>
      </c>
      <c r="L23" s="161">
        <v>16331695</v>
      </c>
      <c r="M23" s="99"/>
      <c r="N23" s="27"/>
      <c r="O23" s="186"/>
      <c r="P23" s="186"/>
      <c r="Q23" s="405"/>
    </row>
    <row r="24" spans="1:19">
      <c r="B24" s="160"/>
      <c r="C24" s="160" t="s">
        <v>727</v>
      </c>
      <c r="D24" s="160"/>
      <c r="E24" s="533"/>
      <c r="F24" s="533"/>
      <c r="G24" s="161">
        <v>9403000</v>
      </c>
      <c r="H24" s="161"/>
      <c r="I24" s="161">
        <v>10844110</v>
      </c>
      <c r="J24" s="161"/>
      <c r="K24" s="161"/>
      <c r="L24" s="161"/>
      <c r="M24" s="99"/>
      <c r="N24" s="27"/>
      <c r="O24" s="27"/>
      <c r="P24" s="27"/>
      <c r="Q24" s="405"/>
    </row>
    <row r="25" spans="1:19">
      <c r="B25" s="160"/>
      <c r="C25" s="160"/>
      <c r="D25" s="160"/>
      <c r="E25" s="533"/>
      <c r="F25" s="533"/>
      <c r="G25" s="161"/>
      <c r="H25" s="161"/>
      <c r="I25" s="161"/>
      <c r="J25" s="161"/>
      <c r="K25" s="161"/>
      <c r="L25" s="161"/>
      <c r="M25" s="99"/>
      <c r="N25" s="27"/>
      <c r="O25" s="27"/>
      <c r="P25" s="27"/>
      <c r="Q25" s="405"/>
    </row>
    <row r="26" spans="1:19">
      <c r="B26" s="160"/>
      <c r="C26" s="160"/>
      <c r="D26" s="160"/>
      <c r="E26" s="533"/>
      <c r="F26" s="533"/>
      <c r="G26" s="161"/>
      <c r="H26" s="161"/>
      <c r="I26" s="161"/>
      <c r="J26" s="161"/>
      <c r="K26" s="161"/>
      <c r="L26" s="161"/>
      <c r="M26" s="44"/>
      <c r="N26" s="27"/>
      <c r="O26" s="27"/>
      <c r="P26" s="27"/>
      <c r="Q26" s="405"/>
    </row>
    <row r="27" spans="1:19">
      <c r="B27" s="160"/>
      <c r="C27" s="160"/>
      <c r="D27" s="160"/>
      <c r="E27" s="533"/>
      <c r="F27" s="533"/>
      <c r="G27" s="161"/>
      <c r="H27" s="161"/>
      <c r="I27" s="161"/>
      <c r="J27" s="161"/>
      <c r="K27" s="161"/>
      <c r="L27" s="161"/>
      <c r="M27" s="44"/>
      <c r="N27" s="27"/>
      <c r="O27" s="27"/>
      <c r="P27" s="27"/>
      <c r="Q27" s="405"/>
    </row>
    <row r="28" spans="1:19">
      <c r="B28" s="160"/>
      <c r="C28" s="160"/>
      <c r="D28" s="160"/>
      <c r="E28" s="533"/>
      <c r="F28" s="533"/>
      <c r="G28" s="161"/>
      <c r="H28" s="161"/>
      <c r="I28" s="161"/>
      <c r="J28" s="161"/>
      <c r="K28" s="161"/>
      <c r="L28" s="161"/>
      <c r="M28" s="44"/>
      <c r="N28" s="27"/>
      <c r="O28" s="27"/>
      <c r="P28" s="27"/>
      <c r="Q28" s="405"/>
    </row>
    <row r="29" spans="1:19">
      <c r="B29" s="160"/>
      <c r="C29" s="160"/>
      <c r="D29" s="160"/>
      <c r="E29" s="533"/>
      <c r="F29" s="533"/>
      <c r="G29" s="161"/>
      <c r="H29" s="161"/>
      <c r="I29" s="161"/>
      <c r="J29" s="161"/>
      <c r="K29" s="161"/>
      <c r="L29" s="161"/>
      <c r="M29" s="44"/>
      <c r="N29" s="27"/>
      <c r="O29" s="27"/>
      <c r="P29" s="27"/>
      <c r="Q29" s="405"/>
    </row>
    <row r="30" spans="1:19">
      <c r="B30" s="160"/>
      <c r="C30" s="160"/>
      <c r="D30" s="160"/>
      <c r="E30" s="533"/>
      <c r="F30" s="533"/>
      <c r="G30" s="161"/>
      <c r="H30" s="161"/>
      <c r="I30" s="161"/>
      <c r="J30" s="161"/>
      <c r="K30" s="161"/>
      <c r="L30" s="161"/>
      <c r="M30" s="44"/>
      <c r="N30" s="27"/>
      <c r="O30" s="27"/>
      <c r="P30" s="27"/>
      <c r="Q30" s="405"/>
    </row>
    <row r="31" spans="1:19">
      <c r="B31" s="160"/>
      <c r="C31" s="160"/>
      <c r="D31" s="160"/>
      <c r="E31" s="533"/>
      <c r="F31" s="533"/>
      <c r="G31" s="161"/>
      <c r="H31" s="161"/>
      <c r="I31" s="161"/>
      <c r="J31" s="161"/>
      <c r="K31" s="161"/>
      <c r="L31" s="161"/>
      <c r="M31" s="44"/>
      <c r="N31" s="27"/>
      <c r="O31" s="27"/>
      <c r="P31" s="27"/>
      <c r="Q31" s="405"/>
    </row>
    <row r="32" spans="1:19">
      <c r="B32" s="160"/>
      <c r="C32" s="160"/>
      <c r="D32" s="160"/>
      <c r="E32" s="533"/>
      <c r="F32" s="533"/>
      <c r="G32" s="161"/>
      <c r="H32" s="161"/>
      <c r="I32" s="161"/>
      <c r="J32" s="161"/>
      <c r="K32" s="161"/>
      <c r="L32" s="161"/>
      <c r="M32" s="44"/>
      <c r="N32" s="27"/>
      <c r="O32" s="27"/>
      <c r="P32" s="27"/>
      <c r="Q32" s="405"/>
    </row>
    <row r="33" spans="2:17">
      <c r="B33" s="160"/>
      <c r="C33" s="160"/>
      <c r="D33" s="160"/>
      <c r="E33" s="533"/>
      <c r="F33" s="533"/>
      <c r="G33" s="161"/>
      <c r="H33" s="161"/>
      <c r="I33" s="161"/>
      <c r="J33" s="161"/>
      <c r="K33" s="161"/>
      <c r="L33" s="161"/>
      <c r="M33" s="44"/>
      <c r="N33" s="27"/>
      <c r="O33" s="27"/>
      <c r="P33" s="27"/>
      <c r="Q33" s="405"/>
    </row>
    <row r="34" spans="2:17">
      <c r="B34" s="160"/>
      <c r="C34" s="160"/>
      <c r="D34" s="160"/>
      <c r="E34" s="533"/>
      <c r="F34" s="533"/>
      <c r="G34" s="161"/>
      <c r="H34" s="161"/>
      <c r="I34" s="161"/>
      <c r="J34" s="161"/>
      <c r="K34" s="161"/>
      <c r="L34" s="161"/>
      <c r="M34" s="44"/>
      <c r="N34" s="27"/>
      <c r="O34" s="27"/>
      <c r="P34" s="27"/>
      <c r="Q34" s="405"/>
    </row>
    <row r="35" spans="2:17">
      <c r="B35" s="160"/>
      <c r="C35" s="160"/>
      <c r="D35" s="160"/>
      <c r="E35" s="533"/>
      <c r="F35" s="533"/>
      <c r="G35" s="161"/>
      <c r="H35" s="161"/>
      <c r="I35" s="161"/>
      <c r="J35" s="161"/>
      <c r="K35" s="161"/>
      <c r="L35" s="161"/>
      <c r="M35" s="44"/>
      <c r="N35" s="27"/>
      <c r="O35" s="27"/>
      <c r="P35" s="27"/>
      <c r="Q35" s="405"/>
    </row>
    <row r="36" spans="2:17">
      <c r="B36" s="160"/>
      <c r="C36" s="160"/>
      <c r="D36" s="160"/>
      <c r="E36" s="533"/>
      <c r="F36" s="533"/>
      <c r="G36" s="161"/>
      <c r="H36" s="161"/>
      <c r="I36" s="161"/>
      <c r="J36" s="161"/>
      <c r="K36" s="161"/>
      <c r="L36" s="161"/>
      <c r="M36" s="44"/>
      <c r="N36" s="27"/>
      <c r="O36" s="27"/>
      <c r="P36" s="27"/>
      <c r="Q36" s="405"/>
    </row>
    <row r="37" spans="2:17">
      <c r="B37" s="160"/>
      <c r="C37" s="160"/>
      <c r="D37" s="160"/>
      <c r="E37" s="533"/>
      <c r="F37" s="533"/>
      <c r="G37" s="161"/>
      <c r="H37" s="161"/>
      <c r="I37" s="161"/>
      <c r="J37" s="161"/>
      <c r="K37" s="161"/>
      <c r="L37" s="161"/>
      <c r="M37" s="44"/>
      <c r="N37" s="27"/>
      <c r="O37" s="27"/>
      <c r="P37" s="27"/>
      <c r="Q37" s="405"/>
    </row>
    <row r="38" spans="2:17">
      <c r="B38" s="160"/>
      <c r="C38" s="160"/>
      <c r="D38" s="160"/>
      <c r="E38" s="533"/>
      <c r="F38" s="533"/>
      <c r="G38" s="161"/>
      <c r="H38" s="161"/>
      <c r="I38" s="161"/>
      <c r="J38" s="161"/>
      <c r="K38" s="161"/>
      <c r="L38" s="161"/>
      <c r="M38" s="44"/>
      <c r="N38" s="27"/>
      <c r="O38" s="27"/>
      <c r="P38" s="27"/>
      <c r="Q38" s="405"/>
    </row>
    <row r="39" spans="2:17">
      <c r="B39" s="160"/>
      <c r="C39" s="160"/>
      <c r="D39" s="160"/>
      <c r="E39" s="533"/>
      <c r="F39" s="533"/>
      <c r="G39" s="161"/>
      <c r="H39" s="161"/>
      <c r="I39" s="161"/>
      <c r="J39" s="161"/>
      <c r="K39" s="161"/>
      <c r="L39" s="161"/>
      <c r="M39" s="44"/>
      <c r="N39" s="27"/>
      <c r="O39" s="27"/>
      <c r="P39" s="27"/>
      <c r="Q39" s="405"/>
    </row>
    <row r="40" spans="2:17">
      <c r="B40" s="160"/>
      <c r="C40" s="160"/>
      <c r="D40" s="160"/>
      <c r="E40" s="533"/>
      <c r="F40" s="533"/>
      <c r="G40" s="161"/>
      <c r="H40" s="161"/>
      <c r="I40" s="161"/>
      <c r="J40" s="161"/>
      <c r="K40" s="161"/>
      <c r="L40" s="161"/>
      <c r="M40" s="44"/>
      <c r="N40" s="27"/>
      <c r="O40" s="27"/>
      <c r="P40" s="27"/>
      <c r="Q40" s="405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5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5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5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5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5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5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5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5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5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5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5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5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5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5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5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5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5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5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5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5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5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5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5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5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5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5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5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5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5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5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5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5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5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5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5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5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5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5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5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5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5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5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5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5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5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5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5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5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5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5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5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5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5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5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5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5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5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5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5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5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5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5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5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5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5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5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5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5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5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5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5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5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5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5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5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5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5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5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5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5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5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5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5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5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5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5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5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5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5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5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5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5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5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5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5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5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5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5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5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5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5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5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5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5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5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5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5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5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5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5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5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5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5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5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5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5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5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5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5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5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5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5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5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5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5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5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5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5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5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5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5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5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5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5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5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5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5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5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5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5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5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5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5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5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5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5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5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5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5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5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5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5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5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5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5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5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5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5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5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5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5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5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5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5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5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5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5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5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5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5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5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5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5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5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5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5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5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5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5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5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5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5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5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5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5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5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5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5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5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5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5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5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5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5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5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5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5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5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5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5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5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5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5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5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5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5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5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5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5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5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5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5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5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5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5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5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5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5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5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5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5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5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5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5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5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5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5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5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5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5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5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5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5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5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5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5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5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5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5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5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5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5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5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5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5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5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5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5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5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5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5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5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5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5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5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5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5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5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5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5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5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5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5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5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5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5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5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5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5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5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5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5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5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5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5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5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5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5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5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5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5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5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5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5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5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5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5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5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5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5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5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5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5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5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5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5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5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5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5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5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5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5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5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5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5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5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5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5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5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5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5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5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5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5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5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5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5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5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5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5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5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5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5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5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5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5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5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5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5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5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5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5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5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5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5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5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5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5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5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5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5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5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5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5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5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5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5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5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5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5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5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5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5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5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5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5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5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5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5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5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5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5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5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5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5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5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5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5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5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5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5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5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5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5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5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5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5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5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5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5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5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5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5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5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5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5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5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5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5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5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5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5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5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5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5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5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5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5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5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5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5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5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5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5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5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5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5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5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5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5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5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5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5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5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5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5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5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5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5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5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5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5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5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5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5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5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5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5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5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5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5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5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5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5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5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5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5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5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5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5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5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5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5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5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5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5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5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5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5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5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5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5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5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5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5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5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5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5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5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5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5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5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5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5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5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5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5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5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5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5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5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5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5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5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5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5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5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5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5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5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5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5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5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5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5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5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5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5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5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5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5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5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5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5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5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5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5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5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5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5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5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5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5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5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5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5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5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5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5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5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5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5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5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5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5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5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5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5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5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5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5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5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5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5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5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5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5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5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5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5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5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5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5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5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5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5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5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5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5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5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5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5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5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5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5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5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5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5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5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5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5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5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5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5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5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5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5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5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5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5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5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5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5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5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5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5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5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5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5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5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5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5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5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5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5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5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5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5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5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5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5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5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5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5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5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5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5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5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5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5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5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5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5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5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5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5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5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5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5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5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5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5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5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5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5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5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5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5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5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5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5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5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5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5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5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5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5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5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5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5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5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5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5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5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5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5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5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5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5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5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5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5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5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5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5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5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5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5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5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5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5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5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5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5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5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5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5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5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5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5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5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5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5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5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5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5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5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5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5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5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5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5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5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5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5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5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5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5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5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5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5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5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5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5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5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5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5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5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5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5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5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5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5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5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5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5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5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5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5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5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5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5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5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5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5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5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5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5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5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5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5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5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5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5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5"/>
    </row>
    <row r="746" spans="2:17">
      <c r="M746" s="44"/>
      <c r="N746" s="27"/>
      <c r="O746" s="27"/>
      <c r="P746" s="27"/>
      <c r="Q746" s="405"/>
    </row>
    <row r="747" spans="2:17">
      <c r="N747" s="27"/>
      <c r="O747" s="27"/>
      <c r="P747" s="27"/>
      <c r="Q747" s="405"/>
    </row>
    <row r="748" spans="2:17">
      <c r="N748" s="27"/>
      <c r="O748" s="27"/>
      <c r="P748" s="27"/>
      <c r="Q748" s="405"/>
    </row>
    <row r="749" spans="2:17">
      <c r="N749" s="27"/>
      <c r="O749" s="27"/>
      <c r="P749" s="27"/>
      <c r="Q749" s="405"/>
    </row>
    <row r="750" spans="2:17">
      <c r="N750" s="27"/>
      <c r="O750" s="27"/>
      <c r="P750" s="27"/>
      <c r="Q750" s="405"/>
    </row>
    <row r="751" spans="2:17">
      <c r="N751" s="27"/>
      <c r="O751" s="27"/>
      <c r="P751" s="27"/>
      <c r="Q751" s="405"/>
    </row>
    <row r="752" spans="2:17">
      <c r="N752" s="27"/>
      <c r="O752" s="27"/>
      <c r="P752" s="27"/>
      <c r="Q752" s="405"/>
    </row>
    <row r="753" spans="14:17">
      <c r="N753" s="27"/>
      <c r="O753" s="27"/>
      <c r="P753" s="27"/>
      <c r="Q753" s="405"/>
    </row>
    <row r="754" spans="14:17">
      <c r="N754" s="27"/>
      <c r="O754" s="27"/>
      <c r="P754" s="27"/>
      <c r="Q754" s="405"/>
    </row>
    <row r="755" spans="14:17">
      <c r="N755" s="27"/>
      <c r="O755" s="27"/>
      <c r="P755" s="27"/>
      <c r="Q755" s="405"/>
    </row>
    <row r="756" spans="14:17">
      <c r="N756" s="27"/>
      <c r="O756" s="27"/>
      <c r="P756" s="27"/>
      <c r="Q756" s="405"/>
    </row>
    <row r="757" spans="14:17">
      <c r="N757" s="27"/>
      <c r="O757" s="27"/>
      <c r="P757" s="27"/>
      <c r="Q757" s="405"/>
    </row>
    <row r="758" spans="14:17">
      <c r="N758" s="27"/>
      <c r="O758" s="27"/>
      <c r="P758" s="27"/>
      <c r="Q758" s="405"/>
    </row>
    <row r="759" spans="14:17">
      <c r="N759" s="27"/>
      <c r="O759" s="27"/>
      <c r="P759" s="27"/>
      <c r="Q759" s="405"/>
    </row>
    <row r="760" spans="14:17">
      <c r="N760" s="27"/>
      <c r="O760" s="27"/>
      <c r="P760" s="27"/>
      <c r="Q760" s="405"/>
    </row>
    <row r="761" spans="14:17">
      <c r="N761" s="27"/>
      <c r="O761" s="27"/>
      <c r="P761" s="27"/>
      <c r="Q761" s="405"/>
    </row>
    <row r="762" spans="14:17">
      <c r="N762" s="27"/>
      <c r="O762" s="27"/>
      <c r="P762" s="27"/>
      <c r="Q762" s="405"/>
    </row>
    <row r="763" spans="14:17">
      <c r="N763" s="27"/>
      <c r="O763" s="27"/>
      <c r="P763" s="27"/>
      <c r="Q763" s="405"/>
    </row>
    <row r="764" spans="14:17">
      <c r="N764" s="27"/>
      <c r="O764" s="27"/>
      <c r="P764" s="27"/>
      <c r="Q764" s="405"/>
    </row>
    <row r="765" spans="14:17">
      <c r="N765" s="27"/>
      <c r="O765" s="27"/>
      <c r="P765" s="27"/>
      <c r="Q765" s="405"/>
    </row>
    <row r="766" spans="14:17">
      <c r="N766" s="27"/>
      <c r="O766" s="27"/>
      <c r="P766" s="27"/>
      <c r="Q766" s="405"/>
    </row>
    <row r="767" spans="14:17">
      <c r="N767" s="27"/>
      <c r="O767" s="27"/>
      <c r="P767" s="27"/>
      <c r="Q767" s="405"/>
    </row>
    <row r="768" spans="14:17">
      <c r="N768" s="27"/>
      <c r="O768" s="27"/>
      <c r="P768" s="27"/>
      <c r="Q768" s="405"/>
    </row>
    <row r="769" spans="14:17">
      <c r="N769" s="27"/>
      <c r="O769" s="27"/>
      <c r="P769" s="27"/>
      <c r="Q769" s="405"/>
    </row>
    <row r="770" spans="14:17">
      <c r="N770" s="27"/>
      <c r="O770" s="27"/>
      <c r="P770" s="27"/>
      <c r="Q770" s="405"/>
    </row>
    <row r="771" spans="14:17">
      <c r="N771" s="27"/>
      <c r="O771" s="27"/>
      <c r="P771" s="27"/>
      <c r="Q771" s="405"/>
    </row>
    <row r="772" spans="14:17">
      <c r="N772" s="27"/>
      <c r="O772" s="27"/>
      <c r="P772" s="27"/>
      <c r="Q772" s="405"/>
    </row>
    <row r="773" spans="14:17">
      <c r="N773" s="27"/>
      <c r="O773" s="27"/>
      <c r="P773" s="27"/>
      <c r="Q773" s="405"/>
    </row>
    <row r="774" spans="14:17">
      <c r="N774" s="27"/>
      <c r="O774" s="27"/>
      <c r="P774" s="27"/>
      <c r="Q774" s="405"/>
    </row>
    <row r="775" spans="14:17">
      <c r="N775" s="27"/>
      <c r="O775" s="27"/>
      <c r="P775" s="27"/>
      <c r="Q775" s="405"/>
    </row>
    <row r="776" spans="14:17">
      <c r="N776" s="27"/>
      <c r="O776" s="27"/>
      <c r="P776" s="27"/>
      <c r="Q776" s="405"/>
    </row>
    <row r="777" spans="14:17">
      <c r="N777" s="27"/>
      <c r="O777" s="27"/>
      <c r="P777" s="27"/>
      <c r="Q777" s="405"/>
    </row>
    <row r="778" spans="14:17">
      <c r="N778" s="27"/>
      <c r="O778" s="27"/>
      <c r="P778" s="27"/>
      <c r="Q778" s="405"/>
    </row>
    <row r="779" spans="14:17">
      <c r="N779" s="27"/>
      <c r="O779" s="27"/>
      <c r="P779" s="27"/>
      <c r="Q779" s="405"/>
    </row>
    <row r="780" spans="14:17">
      <c r="N780" s="27"/>
      <c r="O780" s="27"/>
      <c r="P780" s="27"/>
      <c r="Q780" s="405"/>
    </row>
    <row r="781" spans="14:17">
      <c r="N781" s="27"/>
      <c r="O781" s="27"/>
      <c r="P781" s="27"/>
      <c r="Q781" s="405"/>
    </row>
    <row r="782" spans="14:17">
      <c r="N782" s="27"/>
      <c r="O782" s="27"/>
      <c r="P782" s="27"/>
      <c r="Q782" s="405"/>
    </row>
    <row r="783" spans="14:17">
      <c r="N783" s="27"/>
      <c r="O783" s="27"/>
      <c r="P783" s="27"/>
      <c r="Q783" s="405"/>
    </row>
    <row r="784" spans="14:17">
      <c r="N784" s="27"/>
      <c r="O784" s="27"/>
      <c r="P784" s="27"/>
      <c r="Q784" s="405"/>
    </row>
    <row r="785" spans="14:17">
      <c r="N785" s="27"/>
      <c r="O785" s="27"/>
      <c r="P785" s="27"/>
      <c r="Q785" s="405"/>
    </row>
    <row r="786" spans="14:17">
      <c r="N786" s="27"/>
      <c r="O786" s="27"/>
      <c r="P786" s="27"/>
      <c r="Q786" s="405"/>
    </row>
    <row r="787" spans="14:17">
      <c r="N787" s="27"/>
      <c r="O787" s="27"/>
      <c r="P787" s="27"/>
      <c r="Q787" s="405"/>
    </row>
    <row r="788" spans="14:17">
      <c r="N788" s="27"/>
      <c r="O788" s="27"/>
      <c r="P788" s="27"/>
      <c r="Q788" s="405"/>
    </row>
    <row r="789" spans="14:17">
      <c r="N789" s="27"/>
      <c r="O789" s="27"/>
      <c r="P789" s="27"/>
      <c r="Q789" s="405"/>
    </row>
    <row r="790" spans="14:17">
      <c r="N790" s="27"/>
      <c r="O790" s="27"/>
      <c r="P790" s="27"/>
      <c r="Q790" s="405"/>
    </row>
    <row r="791" spans="14:17">
      <c r="N791" s="27"/>
      <c r="O791" s="27"/>
      <c r="P791" s="27"/>
      <c r="Q791" s="405"/>
    </row>
    <row r="792" spans="14:17">
      <c r="N792" s="27"/>
      <c r="O792" s="27"/>
      <c r="P792" s="27"/>
      <c r="Q792" s="405"/>
    </row>
    <row r="793" spans="14:17">
      <c r="N793" s="27"/>
      <c r="O793" s="27"/>
      <c r="P793" s="27"/>
      <c r="Q793" s="405"/>
    </row>
    <row r="794" spans="14:17">
      <c r="N794" s="27"/>
      <c r="O794" s="27"/>
      <c r="P794" s="27"/>
      <c r="Q794" s="405"/>
    </row>
    <row r="795" spans="14:17">
      <c r="N795" s="27"/>
      <c r="O795" s="27"/>
      <c r="P795" s="27"/>
      <c r="Q795" s="405"/>
    </row>
    <row r="796" spans="14:17">
      <c r="N796" s="27"/>
      <c r="O796" s="27"/>
      <c r="P796" s="27"/>
      <c r="Q796" s="405"/>
    </row>
    <row r="797" spans="14:17">
      <c r="N797" s="27"/>
      <c r="O797" s="27"/>
      <c r="P797" s="27"/>
      <c r="Q797" s="405"/>
    </row>
    <row r="798" spans="14:17">
      <c r="N798" s="27"/>
      <c r="O798" s="27"/>
      <c r="P798" s="27"/>
      <c r="Q798" s="405"/>
    </row>
    <row r="799" spans="14:17">
      <c r="N799" s="27"/>
      <c r="O799" s="27"/>
      <c r="P799" s="27"/>
      <c r="Q799" s="405"/>
    </row>
    <row r="800" spans="14:17">
      <c r="N800" s="27"/>
      <c r="O800" s="27"/>
      <c r="P800" s="27"/>
      <c r="Q800" s="405"/>
    </row>
    <row r="801" spans="14:17">
      <c r="N801" s="27"/>
      <c r="O801" s="27"/>
      <c r="P801" s="27"/>
      <c r="Q801" s="405"/>
    </row>
    <row r="802" spans="14:17">
      <c r="N802" s="27"/>
      <c r="O802" s="27"/>
      <c r="P802" s="27"/>
      <c r="Q802" s="405"/>
    </row>
    <row r="803" spans="14:17">
      <c r="N803" s="27"/>
      <c r="O803" s="27"/>
      <c r="P803" s="27"/>
      <c r="Q803" s="405"/>
    </row>
    <row r="804" spans="14:17">
      <c r="N804" s="27"/>
      <c r="O804" s="27"/>
      <c r="P804" s="27"/>
      <c r="Q804" s="405"/>
    </row>
    <row r="805" spans="14:17">
      <c r="N805" s="27"/>
      <c r="O805" s="27"/>
      <c r="P805" s="27"/>
      <c r="Q805" s="405"/>
    </row>
    <row r="806" spans="14:17">
      <c r="N806" s="27"/>
      <c r="O806" s="27"/>
      <c r="P806" s="27"/>
      <c r="Q806" s="405"/>
    </row>
    <row r="807" spans="14:17">
      <c r="N807" s="27"/>
      <c r="O807" s="27"/>
      <c r="P807" s="27"/>
      <c r="Q807" s="405"/>
    </row>
    <row r="808" spans="14:17">
      <c r="N808" s="27"/>
      <c r="O808" s="27"/>
      <c r="P808" s="27"/>
      <c r="Q808" s="405"/>
    </row>
    <row r="809" spans="14:17">
      <c r="N809" s="27"/>
      <c r="O809" s="27"/>
      <c r="P809" s="27"/>
      <c r="Q809" s="405"/>
    </row>
    <row r="810" spans="14:17">
      <c r="N810" s="27"/>
      <c r="O810" s="27"/>
      <c r="P810" s="27"/>
      <c r="Q810" s="405"/>
    </row>
    <row r="811" spans="14:17">
      <c r="N811" s="27"/>
      <c r="O811" s="27"/>
      <c r="P811" s="27"/>
      <c r="Q811" s="405"/>
    </row>
    <row r="812" spans="14:17">
      <c r="N812" s="27"/>
      <c r="O812" s="27"/>
      <c r="P812" s="27"/>
      <c r="Q812" s="405"/>
    </row>
    <row r="813" spans="14:17">
      <c r="N813" s="27"/>
      <c r="O813" s="27"/>
      <c r="P813" s="27"/>
      <c r="Q813" s="405"/>
    </row>
    <row r="814" spans="14:17">
      <c r="N814" s="27"/>
      <c r="O814" s="27"/>
      <c r="P814" s="27"/>
      <c r="Q814" s="405"/>
    </row>
    <row r="815" spans="14:17">
      <c r="N815" s="27"/>
      <c r="O815" s="27"/>
      <c r="P815" s="27"/>
      <c r="Q815" s="405"/>
    </row>
    <row r="816" spans="14:17">
      <c r="N816" s="27"/>
      <c r="O816" s="27"/>
      <c r="P816" s="27"/>
      <c r="Q816" s="405"/>
    </row>
    <row r="817" spans="14:17">
      <c r="N817" s="27"/>
      <c r="O817" s="27"/>
      <c r="P817" s="27"/>
      <c r="Q817" s="405"/>
    </row>
    <row r="818" spans="14:17">
      <c r="N818" s="27"/>
      <c r="O818" s="27"/>
      <c r="P818" s="27"/>
      <c r="Q818" s="405"/>
    </row>
    <row r="819" spans="14:17">
      <c r="N819" s="27"/>
      <c r="O819" s="27"/>
      <c r="P819" s="27"/>
      <c r="Q819" s="405"/>
    </row>
    <row r="820" spans="14:17">
      <c r="N820" s="27"/>
      <c r="O820" s="27"/>
      <c r="P820" s="27"/>
      <c r="Q820" s="405"/>
    </row>
    <row r="821" spans="14:17">
      <c r="N821" s="27"/>
      <c r="O821" s="27"/>
      <c r="P821" s="27"/>
      <c r="Q821" s="405"/>
    </row>
    <row r="822" spans="14:17">
      <c r="N822" s="27"/>
      <c r="O822" s="27"/>
      <c r="P822" s="27"/>
      <c r="Q822" s="405"/>
    </row>
    <row r="823" spans="14:17">
      <c r="N823" s="27"/>
      <c r="O823" s="27"/>
      <c r="P823" s="27"/>
      <c r="Q823" s="405"/>
    </row>
    <row r="824" spans="14:17">
      <c r="N824" s="27"/>
      <c r="O824" s="27"/>
      <c r="P824" s="27"/>
      <c r="Q824" s="405"/>
    </row>
    <row r="825" spans="14:17">
      <c r="N825" s="27"/>
      <c r="O825" s="27"/>
      <c r="P825" s="27"/>
      <c r="Q825" s="405"/>
    </row>
    <row r="826" spans="14:17">
      <c r="N826" s="27"/>
      <c r="O826" s="27"/>
      <c r="P826" s="27"/>
      <c r="Q826" s="405"/>
    </row>
    <row r="827" spans="14:17">
      <c r="N827" s="27"/>
      <c r="O827" s="27"/>
      <c r="P827" s="27"/>
      <c r="Q827" s="405"/>
    </row>
    <row r="828" spans="14:17">
      <c r="N828" s="27"/>
      <c r="O828" s="27"/>
      <c r="P828" s="27"/>
      <c r="Q828" s="405"/>
    </row>
    <row r="829" spans="14:17">
      <c r="N829" s="27"/>
      <c r="O829" s="27"/>
      <c r="P829" s="27"/>
      <c r="Q829" s="405"/>
    </row>
    <row r="830" spans="14:17">
      <c r="N830" s="27"/>
      <c r="O830" s="27"/>
      <c r="P830" s="27"/>
      <c r="Q830" s="405"/>
    </row>
    <row r="831" spans="14:17">
      <c r="N831" s="27"/>
      <c r="O831" s="27"/>
      <c r="P831" s="27"/>
      <c r="Q831" s="405"/>
    </row>
    <row r="832" spans="14:17">
      <c r="N832" s="27"/>
      <c r="O832" s="27"/>
      <c r="P832" s="27"/>
      <c r="Q832" s="405"/>
    </row>
    <row r="833" spans="14:17">
      <c r="N833" s="27"/>
      <c r="O833" s="27"/>
      <c r="P833" s="27"/>
      <c r="Q833" s="405"/>
    </row>
    <row r="834" spans="14:17">
      <c r="N834" s="27"/>
      <c r="O834" s="27"/>
      <c r="P834" s="27"/>
      <c r="Q834" s="405"/>
    </row>
    <row r="835" spans="14:17">
      <c r="N835" s="27"/>
      <c r="O835" s="27"/>
      <c r="P835" s="27"/>
      <c r="Q835" s="405"/>
    </row>
    <row r="836" spans="14:17">
      <c r="N836" s="27"/>
      <c r="O836" s="27"/>
      <c r="P836" s="27"/>
      <c r="Q836" s="405"/>
    </row>
    <row r="837" spans="14:17">
      <c r="N837" s="27"/>
      <c r="O837" s="27"/>
      <c r="P837" s="27"/>
      <c r="Q837" s="405"/>
    </row>
    <row r="838" spans="14:17">
      <c r="N838" s="27"/>
      <c r="O838" s="27"/>
      <c r="P838" s="27"/>
      <c r="Q838" s="405"/>
    </row>
    <row r="839" spans="14:17">
      <c r="N839" s="27"/>
      <c r="O839" s="27"/>
      <c r="P839" s="27"/>
      <c r="Q839" s="405"/>
    </row>
    <row r="840" spans="14:17">
      <c r="N840" s="27"/>
      <c r="O840" s="27"/>
      <c r="P840" s="27"/>
      <c r="Q840" s="405"/>
    </row>
    <row r="841" spans="14:17">
      <c r="N841" s="27"/>
      <c r="O841" s="27"/>
      <c r="P841" s="27"/>
      <c r="Q841" s="405"/>
    </row>
    <row r="842" spans="14:17">
      <c r="N842" s="27"/>
      <c r="O842" s="27"/>
      <c r="P842" s="27"/>
      <c r="Q842" s="405"/>
    </row>
    <row r="843" spans="14:17">
      <c r="N843" s="27"/>
      <c r="O843" s="27"/>
      <c r="P843" s="27"/>
      <c r="Q843" s="405"/>
    </row>
    <row r="844" spans="14:17">
      <c r="N844" s="27"/>
      <c r="O844" s="27"/>
      <c r="P844" s="27"/>
      <c r="Q844" s="405"/>
    </row>
    <row r="845" spans="14:17">
      <c r="N845" s="27"/>
      <c r="O845" s="27"/>
      <c r="P845" s="27"/>
      <c r="Q845" s="405"/>
    </row>
    <row r="846" spans="14:17">
      <c r="N846" s="27"/>
      <c r="O846" s="27"/>
      <c r="P846" s="27"/>
      <c r="Q846" s="405"/>
    </row>
    <row r="847" spans="14:17">
      <c r="N847" s="27"/>
      <c r="O847" s="27"/>
      <c r="P847" s="27"/>
      <c r="Q847" s="405"/>
    </row>
    <row r="848" spans="14:17">
      <c r="N848" s="27"/>
      <c r="O848" s="27"/>
      <c r="P848" s="27"/>
      <c r="Q848" s="405"/>
    </row>
    <row r="849" spans="14:17">
      <c r="N849" s="27"/>
      <c r="O849" s="27"/>
      <c r="P849" s="27"/>
      <c r="Q849" s="405"/>
    </row>
    <row r="850" spans="14:17">
      <c r="N850" s="27"/>
      <c r="O850" s="27"/>
      <c r="P850" s="27"/>
      <c r="Q850" s="405"/>
    </row>
    <row r="851" spans="14:17">
      <c r="N851" s="27"/>
      <c r="O851" s="27"/>
      <c r="P851" s="27"/>
      <c r="Q851" s="405"/>
    </row>
    <row r="852" spans="14:17">
      <c r="N852" s="27"/>
      <c r="O852" s="27"/>
      <c r="P852" s="27"/>
      <c r="Q852" s="405"/>
    </row>
    <row r="853" spans="14:17">
      <c r="N853" s="27"/>
      <c r="O853" s="27"/>
      <c r="P853" s="27"/>
      <c r="Q853" s="405"/>
    </row>
    <row r="854" spans="14:17">
      <c r="N854" s="27"/>
      <c r="O854" s="27"/>
      <c r="P854" s="27"/>
      <c r="Q854" s="405"/>
    </row>
    <row r="855" spans="14:17">
      <c r="N855" s="27"/>
      <c r="O855" s="27"/>
      <c r="P855" s="27"/>
      <c r="Q855" s="405"/>
    </row>
    <row r="856" spans="14:17">
      <c r="N856" s="27"/>
      <c r="O856" s="27"/>
      <c r="P856" s="27"/>
      <c r="Q856" s="405"/>
    </row>
    <row r="857" spans="14:17">
      <c r="N857" s="27"/>
      <c r="O857" s="27"/>
      <c r="P857" s="27"/>
      <c r="Q857" s="405"/>
    </row>
    <row r="858" spans="14:17">
      <c r="N858" s="27"/>
      <c r="O858" s="27"/>
      <c r="P858" s="27"/>
      <c r="Q858" s="405"/>
    </row>
    <row r="859" spans="14:17">
      <c r="N859" s="27"/>
      <c r="O859" s="27"/>
      <c r="P859" s="27"/>
      <c r="Q859" s="405"/>
    </row>
    <row r="860" spans="14:17">
      <c r="N860" s="27"/>
      <c r="O860" s="27"/>
      <c r="P860" s="27"/>
      <c r="Q860" s="405"/>
    </row>
    <row r="861" spans="14:17">
      <c r="N861" s="27"/>
      <c r="O861" s="27"/>
      <c r="P861" s="27"/>
      <c r="Q861" s="405"/>
    </row>
    <row r="862" spans="14:17">
      <c r="N862" s="27"/>
      <c r="O862" s="27"/>
      <c r="P862" s="27"/>
      <c r="Q862" s="405"/>
    </row>
    <row r="863" spans="14:17">
      <c r="N863" s="27"/>
      <c r="O863" s="27"/>
      <c r="P863" s="27"/>
      <c r="Q863" s="405"/>
    </row>
    <row r="864" spans="14:17">
      <c r="N864" s="27"/>
      <c r="O864" s="27"/>
      <c r="P864" s="27"/>
      <c r="Q864" s="405"/>
    </row>
    <row r="865" spans="14:17">
      <c r="N865" s="27"/>
      <c r="O865" s="27"/>
      <c r="P865" s="27"/>
      <c r="Q865" s="405"/>
    </row>
    <row r="866" spans="14:17">
      <c r="N866" s="27"/>
      <c r="O866" s="27"/>
      <c r="P866" s="27"/>
      <c r="Q866" s="405"/>
    </row>
    <row r="867" spans="14:17">
      <c r="N867" s="27"/>
      <c r="O867" s="27"/>
      <c r="P867" s="27"/>
      <c r="Q867" s="405"/>
    </row>
    <row r="868" spans="14:17">
      <c r="N868" s="27"/>
      <c r="O868" s="27"/>
      <c r="P868" s="27"/>
      <c r="Q868" s="405"/>
    </row>
    <row r="869" spans="14:17">
      <c r="N869" s="27"/>
      <c r="O869" s="27"/>
      <c r="P869" s="27"/>
      <c r="Q869" s="405"/>
    </row>
    <row r="870" spans="14:17">
      <c r="N870" s="27"/>
      <c r="O870" s="27"/>
      <c r="P870" s="27"/>
      <c r="Q870" s="405"/>
    </row>
    <row r="871" spans="14:17">
      <c r="N871" s="27"/>
      <c r="O871" s="27"/>
      <c r="P871" s="27"/>
      <c r="Q871" s="405"/>
    </row>
    <row r="872" spans="14:17">
      <c r="N872" s="27"/>
      <c r="O872" s="27"/>
      <c r="P872" s="27"/>
      <c r="Q872" s="405"/>
    </row>
    <row r="873" spans="14:17">
      <c r="N873" s="27"/>
      <c r="O873" s="27"/>
      <c r="P873" s="27"/>
      <c r="Q873" s="405"/>
    </row>
    <row r="874" spans="14:17">
      <c r="N874" s="27"/>
      <c r="O874" s="27"/>
      <c r="P874" s="27"/>
      <c r="Q874" s="405"/>
    </row>
    <row r="875" spans="14:17">
      <c r="N875" s="27"/>
      <c r="O875" s="27"/>
      <c r="P875" s="27"/>
      <c r="Q875" s="405"/>
    </row>
    <row r="876" spans="14:17">
      <c r="N876" s="27"/>
      <c r="O876" s="27"/>
      <c r="P876" s="27"/>
      <c r="Q876" s="405"/>
    </row>
    <row r="877" spans="14:17">
      <c r="N877" s="27"/>
      <c r="O877" s="27"/>
      <c r="P877" s="27"/>
      <c r="Q877" s="405"/>
    </row>
    <row r="878" spans="14:17">
      <c r="N878" s="27"/>
      <c r="O878" s="27"/>
      <c r="P878" s="27"/>
      <c r="Q878" s="405"/>
    </row>
    <row r="879" spans="14:17">
      <c r="N879" s="27"/>
      <c r="O879" s="27"/>
      <c r="P879" s="27"/>
      <c r="Q879" s="405"/>
    </row>
    <row r="880" spans="14:17">
      <c r="N880" s="27"/>
      <c r="O880" s="27"/>
      <c r="P880" s="27"/>
      <c r="Q880" s="405"/>
    </row>
    <row r="881" spans="14:17">
      <c r="N881" s="27"/>
      <c r="O881" s="27"/>
      <c r="P881" s="27"/>
      <c r="Q881" s="405"/>
    </row>
    <row r="882" spans="14:17">
      <c r="N882" s="27"/>
      <c r="O882" s="27"/>
      <c r="P882" s="27"/>
      <c r="Q882" s="405"/>
    </row>
    <row r="883" spans="14:17">
      <c r="N883" s="27"/>
      <c r="O883" s="27"/>
      <c r="P883" s="27"/>
      <c r="Q883" s="405"/>
    </row>
    <row r="884" spans="14:17">
      <c r="N884" s="27"/>
      <c r="O884" s="27"/>
      <c r="P884" s="27"/>
      <c r="Q884" s="405"/>
    </row>
    <row r="885" spans="14:17">
      <c r="N885" s="27"/>
      <c r="O885" s="27"/>
      <c r="P885" s="27"/>
      <c r="Q885" s="405"/>
    </row>
    <row r="886" spans="14:17">
      <c r="N886" s="27"/>
      <c r="O886" s="27"/>
      <c r="P886" s="27"/>
      <c r="Q886" s="405"/>
    </row>
    <row r="887" spans="14:17">
      <c r="N887" s="27"/>
      <c r="O887" s="27"/>
      <c r="P887" s="27"/>
      <c r="Q887" s="405"/>
    </row>
    <row r="888" spans="14:17">
      <c r="N888" s="27"/>
      <c r="O888" s="27"/>
      <c r="P888" s="27"/>
      <c r="Q888" s="405"/>
    </row>
    <row r="889" spans="14:17">
      <c r="N889" s="27"/>
      <c r="O889" s="27"/>
      <c r="P889" s="27"/>
      <c r="Q889" s="405"/>
    </row>
    <row r="890" spans="14:17">
      <c r="N890" s="27"/>
      <c r="O890" s="27"/>
      <c r="P890" s="27"/>
      <c r="Q890" s="405"/>
    </row>
    <row r="891" spans="14:17">
      <c r="N891" s="27"/>
      <c r="O891" s="27"/>
      <c r="P891" s="27"/>
      <c r="Q891" s="405"/>
    </row>
    <row r="892" spans="14:17">
      <c r="N892" s="27"/>
      <c r="O892" s="27"/>
      <c r="P892" s="27"/>
      <c r="Q892" s="405"/>
    </row>
    <row r="893" spans="14:17">
      <c r="N893" s="27"/>
      <c r="O893" s="27"/>
      <c r="P893" s="27"/>
      <c r="Q893" s="405"/>
    </row>
    <row r="894" spans="14:17">
      <c r="N894" s="27"/>
      <c r="O894" s="27"/>
      <c r="P894" s="27"/>
      <c r="Q894" s="405"/>
    </row>
    <row r="895" spans="14:17">
      <c r="N895" s="27"/>
      <c r="O895" s="27"/>
      <c r="P895" s="27"/>
      <c r="Q895" s="405"/>
    </row>
    <row r="896" spans="14:17">
      <c r="N896" s="27"/>
      <c r="O896" s="27"/>
      <c r="P896" s="27"/>
      <c r="Q896" s="405"/>
    </row>
    <row r="897" spans="14:17">
      <c r="N897" s="27"/>
      <c r="O897" s="27"/>
      <c r="P897" s="27"/>
      <c r="Q897" s="405"/>
    </row>
    <row r="898" spans="14:17">
      <c r="N898" s="27"/>
      <c r="O898" s="27"/>
      <c r="P898" s="27"/>
      <c r="Q898" s="405"/>
    </row>
    <row r="899" spans="14:17">
      <c r="N899" s="27"/>
      <c r="O899" s="27"/>
      <c r="P899" s="27"/>
      <c r="Q899" s="405"/>
    </row>
    <row r="900" spans="14:17">
      <c r="N900" s="27"/>
      <c r="O900" s="27"/>
      <c r="P900" s="27"/>
      <c r="Q900" s="405"/>
    </row>
    <row r="901" spans="14:17">
      <c r="N901" s="27"/>
      <c r="O901" s="27"/>
      <c r="P901" s="27"/>
      <c r="Q901" s="405"/>
    </row>
    <row r="902" spans="14:17">
      <c r="N902" s="27"/>
      <c r="O902" s="27"/>
      <c r="P902" s="27"/>
      <c r="Q902" s="405"/>
    </row>
    <row r="903" spans="14:17">
      <c r="N903" s="27"/>
      <c r="O903" s="27"/>
      <c r="P903" s="27"/>
      <c r="Q903" s="405"/>
    </row>
    <row r="904" spans="14:17">
      <c r="N904" s="27"/>
      <c r="O904" s="27"/>
      <c r="P904" s="27"/>
      <c r="Q904" s="405"/>
    </row>
    <row r="905" spans="14:17">
      <c r="N905" s="27"/>
      <c r="O905" s="27"/>
      <c r="P905" s="27"/>
      <c r="Q905" s="405"/>
    </row>
    <row r="906" spans="14:17">
      <c r="N906" s="27"/>
      <c r="O906" s="27"/>
      <c r="P906" s="27"/>
      <c r="Q906" s="405"/>
    </row>
    <row r="907" spans="14:17">
      <c r="N907" s="27"/>
      <c r="O907" s="27"/>
      <c r="P907" s="27"/>
      <c r="Q907" s="405"/>
    </row>
    <row r="908" spans="14:17">
      <c r="N908" s="27"/>
      <c r="O908" s="27"/>
      <c r="P908" s="27"/>
      <c r="Q908" s="405"/>
    </row>
    <row r="909" spans="14:17">
      <c r="N909" s="27"/>
      <c r="O909" s="27"/>
      <c r="P909" s="27"/>
      <c r="Q909" s="405"/>
    </row>
    <row r="910" spans="14:17">
      <c r="N910" s="27"/>
      <c r="O910" s="27"/>
      <c r="P910" s="27"/>
      <c r="Q910" s="405"/>
    </row>
    <row r="911" spans="14:17">
      <c r="N911" s="27"/>
      <c r="O911" s="27"/>
      <c r="P911" s="27"/>
      <c r="Q911" s="405"/>
    </row>
    <row r="912" spans="14:17">
      <c r="N912" s="27"/>
      <c r="O912" s="27"/>
      <c r="P912" s="27"/>
      <c r="Q912" s="405"/>
    </row>
    <row r="913" spans="14:17">
      <c r="N913" s="27"/>
      <c r="O913" s="27"/>
      <c r="P913" s="27"/>
      <c r="Q913" s="405"/>
    </row>
    <row r="914" spans="14:17">
      <c r="N914" s="27"/>
      <c r="O914" s="27"/>
      <c r="P914" s="27"/>
      <c r="Q914" s="405"/>
    </row>
    <row r="915" spans="14:17">
      <c r="N915" s="27"/>
      <c r="O915" s="27"/>
      <c r="P915" s="27"/>
      <c r="Q915" s="405"/>
    </row>
    <row r="916" spans="14:17">
      <c r="N916" s="27"/>
      <c r="O916" s="27"/>
      <c r="P916" s="27"/>
      <c r="Q916" s="405"/>
    </row>
    <row r="917" spans="14:17">
      <c r="N917" s="27"/>
      <c r="O917" s="27"/>
      <c r="P917" s="27"/>
      <c r="Q917" s="405"/>
    </row>
    <row r="918" spans="14:17">
      <c r="N918" s="27"/>
      <c r="O918" s="27"/>
      <c r="P918" s="27"/>
      <c r="Q918" s="405"/>
    </row>
    <row r="919" spans="14:17">
      <c r="N919" s="27"/>
      <c r="O919" s="27"/>
      <c r="P919" s="27"/>
      <c r="Q919" s="405"/>
    </row>
    <row r="920" spans="14:17">
      <c r="N920" s="27"/>
      <c r="O920" s="27"/>
      <c r="P920" s="27"/>
      <c r="Q920" s="405"/>
    </row>
    <row r="921" spans="14:17">
      <c r="N921" s="27"/>
      <c r="O921" s="27"/>
      <c r="P921" s="27"/>
      <c r="Q921" s="405"/>
    </row>
    <row r="922" spans="14:17">
      <c r="N922" s="27"/>
      <c r="O922" s="27"/>
      <c r="P922" s="27"/>
      <c r="Q922" s="405"/>
    </row>
    <row r="923" spans="14:17">
      <c r="N923" s="27"/>
      <c r="O923" s="27"/>
      <c r="P923" s="27"/>
      <c r="Q923" s="405"/>
    </row>
    <row r="924" spans="14:17">
      <c r="N924" s="27"/>
      <c r="O924" s="27"/>
      <c r="P924" s="27"/>
      <c r="Q924" s="405"/>
    </row>
    <row r="925" spans="14:17">
      <c r="N925" s="27"/>
      <c r="O925" s="27"/>
      <c r="P925" s="27"/>
      <c r="Q925" s="405"/>
    </row>
    <row r="926" spans="14:17">
      <c r="N926" s="27"/>
      <c r="O926" s="27"/>
      <c r="P926" s="27"/>
      <c r="Q926" s="405"/>
    </row>
    <row r="927" spans="14:17">
      <c r="N927" s="27"/>
      <c r="O927" s="27"/>
      <c r="P927" s="27"/>
      <c r="Q927" s="405"/>
    </row>
    <row r="928" spans="14:17">
      <c r="N928" s="27"/>
      <c r="O928" s="27"/>
      <c r="P928" s="27"/>
      <c r="Q928" s="405"/>
    </row>
    <row r="929" spans="14:17">
      <c r="N929" s="27"/>
      <c r="O929" s="27"/>
      <c r="P929" s="27"/>
      <c r="Q929" s="405"/>
    </row>
    <row r="930" spans="14:17">
      <c r="N930" s="27"/>
      <c r="O930" s="27"/>
      <c r="P930" s="27"/>
      <c r="Q930" s="405"/>
    </row>
    <row r="931" spans="14:17">
      <c r="N931" s="27"/>
      <c r="O931" s="27"/>
      <c r="P931" s="27"/>
      <c r="Q931" s="405"/>
    </row>
    <row r="932" spans="14:17">
      <c r="N932" s="27"/>
      <c r="O932" s="27"/>
      <c r="P932" s="27"/>
      <c r="Q932" s="405"/>
    </row>
    <row r="933" spans="14:17">
      <c r="N933" s="27"/>
      <c r="O933" s="27"/>
      <c r="P933" s="27"/>
      <c r="Q933" s="405"/>
    </row>
    <row r="934" spans="14:17">
      <c r="N934" s="27"/>
      <c r="O934" s="27"/>
      <c r="P934" s="27"/>
      <c r="Q934" s="405"/>
    </row>
    <row r="935" spans="14:17">
      <c r="N935" s="27"/>
      <c r="O935" s="27"/>
      <c r="P935" s="27"/>
      <c r="Q935" s="405"/>
    </row>
    <row r="936" spans="14:17">
      <c r="N936" s="27"/>
      <c r="O936" s="27"/>
      <c r="P936" s="27"/>
      <c r="Q936" s="405"/>
    </row>
    <row r="937" spans="14:17">
      <c r="N937" s="27"/>
      <c r="O937" s="27"/>
      <c r="P937" s="27"/>
      <c r="Q937" s="405"/>
    </row>
    <row r="938" spans="14:17">
      <c r="N938" s="27"/>
      <c r="O938" s="27"/>
      <c r="P938" s="27"/>
      <c r="Q938" s="405"/>
    </row>
    <row r="939" spans="14:17">
      <c r="N939" s="27"/>
      <c r="O939" s="27"/>
      <c r="P939" s="27"/>
      <c r="Q939" s="405"/>
    </row>
    <row r="940" spans="14:17">
      <c r="N940" s="27"/>
      <c r="O940" s="27"/>
      <c r="P940" s="27"/>
      <c r="Q940" s="405"/>
    </row>
    <row r="941" spans="14:17">
      <c r="N941" s="27"/>
      <c r="O941" s="27"/>
      <c r="P941" s="27"/>
      <c r="Q941" s="405"/>
    </row>
    <row r="942" spans="14:17">
      <c r="N942" s="27"/>
      <c r="O942" s="27"/>
      <c r="P942" s="27"/>
      <c r="Q942" s="405"/>
    </row>
    <row r="943" spans="14:17">
      <c r="N943" s="27"/>
      <c r="O943" s="27"/>
      <c r="P943" s="27"/>
      <c r="Q943" s="405"/>
    </row>
    <row r="944" spans="14:17">
      <c r="N944" s="27"/>
      <c r="O944" s="27"/>
      <c r="P944" s="27"/>
      <c r="Q944" s="405"/>
    </row>
    <row r="945" spans="14:17">
      <c r="N945" s="27"/>
      <c r="O945" s="27"/>
      <c r="P945" s="27"/>
      <c r="Q945" s="405"/>
    </row>
    <row r="946" spans="14:17">
      <c r="N946" s="27"/>
      <c r="O946" s="27"/>
      <c r="P946" s="27"/>
      <c r="Q946" s="405"/>
    </row>
    <row r="947" spans="14:17">
      <c r="N947" s="27"/>
      <c r="O947" s="27"/>
      <c r="P947" s="27"/>
      <c r="Q947" s="405"/>
    </row>
    <row r="948" spans="14:17">
      <c r="N948" s="27"/>
      <c r="O948" s="27"/>
      <c r="P948" s="27"/>
      <c r="Q948" s="405"/>
    </row>
    <row r="949" spans="14:17">
      <c r="N949" s="27"/>
      <c r="O949" s="27"/>
      <c r="P949" s="27"/>
      <c r="Q949" s="405"/>
    </row>
    <row r="950" spans="14:17">
      <c r="N950" s="27"/>
      <c r="O950" s="27"/>
      <c r="P950" s="27"/>
      <c r="Q950" s="405"/>
    </row>
    <row r="951" spans="14:17">
      <c r="N951" s="27"/>
      <c r="O951" s="27"/>
      <c r="P951" s="27"/>
      <c r="Q951" s="405"/>
    </row>
    <row r="952" spans="14:17">
      <c r="N952" s="27"/>
      <c r="O952" s="27"/>
      <c r="P952" s="27"/>
      <c r="Q952" s="405"/>
    </row>
    <row r="953" spans="14:17">
      <c r="N953" s="27"/>
      <c r="O953" s="27"/>
      <c r="P953" s="27"/>
      <c r="Q953" s="405"/>
    </row>
    <row r="954" spans="14:17">
      <c r="N954" s="27"/>
      <c r="O954" s="27"/>
      <c r="P954" s="27"/>
      <c r="Q954" s="405"/>
    </row>
    <row r="955" spans="14:17">
      <c r="N955" s="27"/>
      <c r="O955" s="27"/>
      <c r="P955" s="27"/>
      <c r="Q955" s="405"/>
    </row>
    <row r="956" spans="14:17">
      <c r="N956" s="27"/>
      <c r="O956" s="27"/>
      <c r="P956" s="27"/>
      <c r="Q956" s="405"/>
    </row>
    <row r="957" spans="14:17">
      <c r="N957" s="27"/>
      <c r="O957" s="27"/>
      <c r="P957" s="27"/>
      <c r="Q957" s="405"/>
    </row>
    <row r="958" spans="14:17">
      <c r="N958" s="27"/>
      <c r="O958" s="27"/>
      <c r="P958" s="27"/>
      <c r="Q958" s="405"/>
    </row>
    <row r="959" spans="14:17">
      <c r="N959" s="27"/>
      <c r="O959" s="27"/>
      <c r="P959" s="27"/>
      <c r="Q959" s="405"/>
    </row>
    <row r="960" spans="14:17">
      <c r="N960" s="27"/>
      <c r="O960" s="27"/>
      <c r="P960" s="27"/>
      <c r="Q960" s="405"/>
    </row>
    <row r="961" spans="14:17">
      <c r="N961" s="27"/>
      <c r="O961" s="27"/>
      <c r="P961" s="27"/>
      <c r="Q961" s="405"/>
    </row>
    <row r="962" spans="14:17">
      <c r="N962" s="27"/>
      <c r="O962" s="27"/>
      <c r="P962" s="27"/>
      <c r="Q962" s="405"/>
    </row>
    <row r="963" spans="14:17">
      <c r="N963" s="27"/>
      <c r="O963" s="27"/>
      <c r="P963" s="27"/>
      <c r="Q963" s="405"/>
    </row>
    <row r="964" spans="14:17">
      <c r="N964" s="27"/>
      <c r="O964" s="27"/>
      <c r="P964" s="27"/>
      <c r="Q964" s="405"/>
    </row>
    <row r="965" spans="14:17">
      <c r="N965" s="27"/>
      <c r="O965" s="27"/>
      <c r="P965" s="27"/>
      <c r="Q965" s="405"/>
    </row>
    <row r="966" spans="14:17">
      <c r="N966" s="27"/>
      <c r="O966" s="27"/>
      <c r="P966" s="27"/>
      <c r="Q966" s="405"/>
    </row>
    <row r="967" spans="14:17">
      <c r="N967" s="27"/>
      <c r="O967" s="27"/>
      <c r="P967" s="27"/>
      <c r="Q967" s="405"/>
    </row>
    <row r="968" spans="14:17">
      <c r="N968" s="27"/>
      <c r="O968" s="27"/>
      <c r="P968" s="27"/>
      <c r="Q968" s="405"/>
    </row>
    <row r="969" spans="14:17">
      <c r="N969" s="27"/>
      <c r="O969" s="27"/>
      <c r="P969" s="27"/>
      <c r="Q969" s="405"/>
    </row>
    <row r="970" spans="14:17">
      <c r="N970" s="27"/>
      <c r="O970" s="27"/>
      <c r="P970" s="27"/>
      <c r="Q970" s="405"/>
    </row>
    <row r="971" spans="14:17">
      <c r="N971" s="27"/>
      <c r="O971" s="27"/>
      <c r="P971" s="27"/>
      <c r="Q971" s="405"/>
    </row>
    <row r="972" spans="14:17">
      <c r="N972" s="27"/>
      <c r="O972" s="27"/>
      <c r="P972" s="27"/>
      <c r="Q972" s="405"/>
    </row>
    <row r="973" spans="14:17">
      <c r="N973" s="27"/>
      <c r="O973" s="27"/>
      <c r="P973" s="27"/>
      <c r="Q973" s="405"/>
    </row>
    <row r="974" spans="14:17">
      <c r="N974" s="27"/>
      <c r="O974" s="27"/>
      <c r="P974" s="27"/>
      <c r="Q974" s="405"/>
    </row>
    <row r="975" spans="14:17">
      <c r="N975" s="27"/>
      <c r="O975" s="27"/>
      <c r="P975" s="27"/>
      <c r="Q975" s="405"/>
    </row>
    <row r="976" spans="14:17">
      <c r="N976" s="27"/>
      <c r="O976" s="27"/>
      <c r="P976" s="27"/>
      <c r="Q976" s="405"/>
    </row>
    <row r="977" spans="14:17">
      <c r="N977" s="27"/>
      <c r="O977" s="27"/>
      <c r="P977" s="27"/>
      <c r="Q977" s="405"/>
    </row>
    <row r="978" spans="14:17">
      <c r="N978" s="27"/>
      <c r="O978" s="27"/>
      <c r="P978" s="27"/>
      <c r="Q978" s="405"/>
    </row>
    <row r="979" spans="14:17">
      <c r="N979" s="27"/>
      <c r="O979" s="27"/>
      <c r="P979" s="27"/>
      <c r="Q979" s="405"/>
    </row>
    <row r="980" spans="14:17">
      <c r="N980" s="27"/>
      <c r="O980" s="27"/>
      <c r="P980" s="27"/>
      <c r="Q980" s="405"/>
    </row>
    <row r="981" spans="14:17">
      <c r="N981" s="27"/>
      <c r="O981" s="27"/>
      <c r="P981" s="27"/>
      <c r="Q981" s="405"/>
    </row>
    <row r="982" spans="14:17">
      <c r="N982" s="27"/>
      <c r="O982" s="27"/>
      <c r="P982" s="27"/>
      <c r="Q982" s="405"/>
    </row>
    <row r="983" spans="14:17">
      <c r="N983" s="27"/>
      <c r="O983" s="27"/>
      <c r="P983" s="27"/>
      <c r="Q983" s="405"/>
    </row>
    <row r="984" spans="14:17">
      <c r="N984" s="27"/>
      <c r="O984" s="27"/>
      <c r="P984" s="27"/>
      <c r="Q984" s="405"/>
    </row>
    <row r="985" spans="14:17">
      <c r="N985" s="27"/>
      <c r="O985" s="27"/>
      <c r="P985" s="27"/>
      <c r="Q985" s="405"/>
    </row>
    <row r="986" spans="14:17">
      <c r="N986" s="27"/>
      <c r="O986" s="27"/>
      <c r="P986" s="27"/>
      <c r="Q986" s="405"/>
    </row>
    <row r="987" spans="14:17">
      <c r="N987" s="27"/>
      <c r="O987" s="27"/>
      <c r="P987" s="27"/>
      <c r="Q987" s="405"/>
    </row>
    <row r="988" spans="14:17">
      <c r="N988" s="27"/>
      <c r="O988" s="27"/>
      <c r="P988" s="27"/>
      <c r="Q988" s="405"/>
    </row>
    <row r="989" spans="14:17">
      <c r="N989" s="27"/>
      <c r="O989" s="27"/>
      <c r="P989" s="27"/>
      <c r="Q989" s="405"/>
    </row>
    <row r="990" spans="14:17">
      <c r="N990" s="27"/>
      <c r="O990" s="27"/>
      <c r="P990" s="27"/>
      <c r="Q990" s="405"/>
    </row>
    <row r="991" spans="14:17">
      <c r="N991" s="27"/>
      <c r="O991" s="27"/>
      <c r="P991" s="27"/>
      <c r="Q991" s="405"/>
    </row>
    <row r="992" spans="14:17">
      <c r="N992" s="27"/>
      <c r="O992" s="27"/>
      <c r="P992" s="27"/>
      <c r="Q992" s="405"/>
    </row>
    <row r="993" spans="14:17">
      <c r="N993" s="27"/>
      <c r="O993" s="27"/>
      <c r="P993" s="27"/>
      <c r="Q993" s="405"/>
    </row>
    <row r="994" spans="14:17">
      <c r="N994" s="27"/>
      <c r="O994" s="27"/>
      <c r="P994" s="27"/>
      <c r="Q994" s="405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49" bestFit="1" customWidth="1"/>
    <col min="4" max="5" width="11.5703125" style="131" customWidth="1"/>
    <col min="6" max="6" width="12.85546875" style="131" bestFit="1" customWidth="1"/>
    <col min="7" max="7" width="17.85546875" style="131" customWidth="1"/>
    <col min="8" max="8" width="9.5703125" customWidth="1"/>
  </cols>
  <sheetData>
    <row r="1" spans="1:8">
      <c r="A1" s="618" t="s">
        <v>143</v>
      </c>
      <c r="B1" s="618"/>
    </row>
    <row r="2" spans="1:8">
      <c r="A2" s="619" t="s">
        <v>144</v>
      </c>
      <c r="B2" s="618"/>
    </row>
    <row r="3" spans="1:8">
      <c r="A3" s="618" t="s">
        <v>145</v>
      </c>
      <c r="B3" s="618"/>
    </row>
    <row r="4" spans="1:8" ht="28.5">
      <c r="A4" s="618" t="s">
        <v>146</v>
      </c>
      <c r="B4" s="618"/>
      <c r="C4" s="150" t="s">
        <v>178</v>
      </c>
      <c r="D4" s="162" t="s">
        <v>179</v>
      </c>
      <c r="E4" s="131" t="s">
        <v>181</v>
      </c>
      <c r="F4" s="162" t="s">
        <v>180</v>
      </c>
    </row>
    <row r="5" spans="1:8">
      <c r="A5" s="619" t="s">
        <v>147</v>
      </c>
      <c r="B5" s="618"/>
      <c r="C5" s="151" t="str">
        <f>VLOOKUP("應付費用",平衡!$N$13:$T$71,4,0)</f>
        <v>210204</v>
      </c>
      <c r="D5" s="152">
        <f>縣庫對帳!P6</f>
        <v>617839</v>
      </c>
      <c r="E5" s="152">
        <v>40000</v>
      </c>
      <c r="F5" s="152">
        <f>庫款差額!C8+庫款差額!C15-庫款差額!C18-庫款差額!C21</f>
        <v>9403000</v>
      </c>
    </row>
    <row r="6" spans="1:8" ht="15" thickBot="1">
      <c r="A6" s="616" t="s">
        <v>148</v>
      </c>
      <c r="B6" s="617"/>
      <c r="C6" s="149" t="s">
        <v>162</v>
      </c>
      <c r="D6" s="164">
        <f>VLOOKUP("銀行存款-縣庫存款",平衡!$E$13:$H$48,4,0)+VLOOKUP("零用及週轉金",平衡!$D$13:$H$48,5,0)</f>
        <v>6988695</v>
      </c>
      <c r="E6" s="164" t="e">
        <f>VLOOKUP("基金餘額",平衡!$K$13:$T$71,7,0)+C5</f>
        <v>#N/A</v>
      </c>
      <c r="F6" s="135" t="s">
        <v>161</v>
      </c>
    </row>
    <row r="7" spans="1:8" ht="15" thickBot="1">
      <c r="A7" s="616" t="s">
        <v>149</v>
      </c>
      <c r="B7" s="617"/>
      <c r="C7" s="149" t="s">
        <v>163</v>
      </c>
      <c r="D7" s="164">
        <f>VLOOKUP("銀行存款-專戶存款",平衡!$E$13:$H$48,4,0)+VLOOKUP("其他預付款",平衡!$D$13:$H$48,5,0)</f>
        <v>16281265</v>
      </c>
      <c r="E7" s="164">
        <f>VLOOKUP("應付代收款",平衡!$N$13:$T$48,7,0)+VLOOKUP("存入保證金",平衡!$N$13:$T$48,7,0)</f>
        <v>16281265</v>
      </c>
      <c r="F7" s="135" t="s">
        <v>164</v>
      </c>
    </row>
    <row r="8" spans="1:8" ht="20.25" thickBot="1">
      <c r="A8" s="65" t="s">
        <v>123</v>
      </c>
      <c r="B8" s="66" t="s">
        <v>124</v>
      </c>
      <c r="C8" s="149" t="s">
        <v>160</v>
      </c>
      <c r="D8" s="165">
        <f>VLOOKUP("合計：",平衡!$A$13:$H$48,8,0)</f>
        <v>355805108</v>
      </c>
      <c r="E8" s="165">
        <f>VLOOKUP("合計：",平衡!$K$13:$T$48,10,0)</f>
        <v>355805108</v>
      </c>
    </row>
    <row r="9" spans="1:8" ht="17.25" thickBot="1">
      <c r="A9" s="61" t="s">
        <v>125</v>
      </c>
      <c r="B9" s="62" t="s">
        <v>126</v>
      </c>
      <c r="C9" s="149" t="s">
        <v>167</v>
      </c>
      <c r="D9" s="165">
        <f>VLOOKUP("基金用途",餘絀表!$C$16:$T$47,18,0)</f>
        <v>66912321</v>
      </c>
      <c r="E9" s="165">
        <f>VLOOKUP("合       計",各項費用!$D$12:$Q$86,14)</f>
        <v>66912321</v>
      </c>
      <c r="F9" s="165" t="e">
        <f>縣庫對帳!P3</f>
        <v>#N/A</v>
      </c>
    </row>
    <row r="10" spans="1:8" ht="33.75" thickBot="1">
      <c r="A10" s="61" t="s">
        <v>127</v>
      </c>
      <c r="B10" s="62" t="s">
        <v>128</v>
      </c>
      <c r="C10" s="149" t="s">
        <v>307</v>
      </c>
      <c r="D10" s="165">
        <f>VLOOKUP("基金來源",餘絀表!$C$16:$T$47,18,0)</f>
        <v>65284716</v>
      </c>
      <c r="E10" s="165">
        <f>縣庫對帳!N3</f>
        <v>65284716</v>
      </c>
      <c r="F10" s="165"/>
      <c r="G10" s="165"/>
      <c r="H10" s="131" t="e">
        <f>D13-E13</f>
        <v>#N/A</v>
      </c>
    </row>
    <row r="11" spans="1:8" ht="27" customHeight="1">
      <c r="A11" s="620" t="s">
        <v>27</v>
      </c>
      <c r="B11" s="620" t="s">
        <v>129</v>
      </c>
      <c r="C11" s="149" t="s">
        <v>318</v>
      </c>
      <c r="D11" s="165">
        <f>VLOOKUP("政府撥入收入",餘絀表!$C$16:$T$47,18,0)</f>
        <v>65139255</v>
      </c>
      <c r="E11" s="165"/>
      <c r="F11" s="165">
        <f>VLOOKUP("政府撥入收入",收支!$B$14:$N$64,13,0)</f>
        <v>65139255</v>
      </c>
      <c r="G11" s="165">
        <f>VLOOKUP("政府撥入收入",對照表!$B$1:$E$29,4,0)</f>
        <v>65139255</v>
      </c>
    </row>
    <row r="12" spans="1:8" ht="28.5">
      <c r="A12" s="623"/>
      <c r="B12" s="623"/>
      <c r="C12" s="149" t="s">
        <v>319</v>
      </c>
      <c r="D12" s="165"/>
      <c r="E12" s="165"/>
      <c r="F12" s="165">
        <f>VLOOKUP("收入",收支!$A$14:$N$64,14,0)</f>
        <v>66107283</v>
      </c>
      <c r="G12" s="165">
        <f>VLOOKUP("基金來源",對照表!$A$1:$E$29,5,0)</f>
        <v>66107283</v>
      </c>
    </row>
    <row r="13" spans="1:8">
      <c r="A13" s="623"/>
      <c r="B13" s="623"/>
      <c r="C13" s="149" t="s">
        <v>304</v>
      </c>
      <c r="D13" s="165" t="e">
        <f>IF(封面!J10=12,0,VLOOKUP($G$13,平衡!$N$13:$T$48,7,0))</f>
        <v>#N/A</v>
      </c>
      <c r="E13" s="165" t="e">
        <f>IF(封面!J10=12,0,VLOOKUP("本期賸餘（短絀）",收支!$A$14:$N$38,14,0))</f>
        <v>#N/A</v>
      </c>
      <c r="F13" s="165">
        <f>IF(封面!K10=12,0,VLOOKUP("本期賸餘(短絀)",對照表!$A$1:$E$29,5,0))</f>
        <v>-5752707</v>
      </c>
      <c r="G13" s="163" t="e">
        <f>IF(E13&gt;=0,"本期賸餘","本期短絀")</f>
        <v>#N/A</v>
      </c>
    </row>
    <row r="14" spans="1:8">
      <c r="A14" s="623"/>
      <c r="B14" s="623"/>
      <c r="C14" s="149" t="s">
        <v>305</v>
      </c>
      <c r="D14" s="165">
        <f>IF(封面!J10=12,0,VLOOKUP("本期賸餘(短絀－)",餘絀表!$C$16:$T$50,18,0))</f>
        <v>-1627605</v>
      </c>
      <c r="E14" s="165"/>
      <c r="F14" s="165">
        <f>IF(封面!K11=12,0,VLOOKUP("本期賸餘(短絀)",對照表!$A$1:$C$29,3,0))</f>
        <v>-1627605</v>
      </c>
      <c r="G14" s="163"/>
    </row>
    <row r="15" spans="1:8">
      <c r="A15" s="623"/>
      <c r="B15" s="623"/>
      <c r="C15" s="149" t="s">
        <v>306</v>
      </c>
      <c r="D15" s="165">
        <f>IF(封面!J12=12,0,VLOOKUP($G$15,平衡!$K$13:$T$48,10,0))</f>
        <v>337357656</v>
      </c>
      <c r="E15" s="165" t="e">
        <f>IF(封面!J12=12,0,VLOOKUP("期末淨資產",收支!$A$14:$N$38,14,0))</f>
        <v>#N/A</v>
      </c>
      <c r="F15" s="165" t="e">
        <f>IF(封面!K12=12,0,VLOOKUP("期末基金餘額",對照表!$A$1:$E$29,5,0))</f>
        <v>#N/A</v>
      </c>
      <c r="G15" s="163" t="s">
        <v>306</v>
      </c>
    </row>
    <row r="16" spans="1:8" ht="15" thickBot="1">
      <c r="A16" s="624"/>
      <c r="B16" s="624"/>
      <c r="C16" s="149" t="s">
        <v>152</v>
      </c>
      <c r="D16" s="165">
        <f>VLOOKUP("國民教育計畫",主要業務!$B$15:$J$23,7,0)</f>
        <v>10828110</v>
      </c>
      <c r="E16" s="165">
        <f>VLOOKUP("國民教育計畫",餘絀表!$C$16:$T$47,9,0)</f>
        <v>0</v>
      </c>
    </row>
    <row r="17" spans="1:8">
      <c r="A17" s="620" t="s">
        <v>141</v>
      </c>
      <c r="B17" s="620" t="s">
        <v>130</v>
      </c>
      <c r="C17" s="149" t="s">
        <v>153</v>
      </c>
      <c r="D17" s="165">
        <f>主要業務!H17</f>
        <v>66912321</v>
      </c>
      <c r="E17" s="165">
        <f>VLOOKUP("國民教育計畫",餘絀表!$C$16:$T$47,18,0)</f>
        <v>66912321</v>
      </c>
    </row>
    <row r="18" spans="1:8">
      <c r="A18" s="621"/>
      <c r="B18" s="623"/>
      <c r="C18" s="149" t="s">
        <v>154</v>
      </c>
      <c r="D18" s="165">
        <f>主要業務!H20</f>
        <v>0</v>
      </c>
      <c r="E18" s="165">
        <f>VLOOKUP("建築及設備計畫",餘絀表!$C$16:$T$47,9,0)</f>
        <v>0</v>
      </c>
    </row>
    <row r="19" spans="1:8">
      <c r="A19" s="621"/>
      <c r="B19" s="623"/>
      <c r="C19" s="149" t="s">
        <v>155</v>
      </c>
      <c r="D19" s="165">
        <f>主要業務!H22</f>
        <v>0</v>
      </c>
      <c r="E19" s="165">
        <f>VLOOKUP("建築及設備計畫",餘絀表!$C$16:$T$47,18,0)</f>
        <v>0</v>
      </c>
    </row>
    <row r="20" spans="1:8">
      <c r="A20" s="621"/>
      <c r="B20" s="623"/>
      <c r="C20" s="149" t="s">
        <v>308</v>
      </c>
      <c r="D20" s="165">
        <f>VLOOKUP("用人費用",各項費用!$F$12:$Q$100,12,0)</f>
        <v>65265185</v>
      </c>
      <c r="E20" s="165">
        <f>VLOOKUP("人事支出",收支!$B$14:$N$64,13,0)</f>
        <v>65265185</v>
      </c>
      <c r="F20" s="165">
        <f>VLOOKUP("用人費用",對照表!$B$1:$E$29,4,0)</f>
        <v>65265185</v>
      </c>
    </row>
    <row r="21" spans="1:8">
      <c r="A21" s="621"/>
      <c r="B21" s="623"/>
      <c r="C21" s="149" t="s">
        <v>309</v>
      </c>
      <c r="D21" s="165">
        <f>IF(E21=0,0,資產!F10+H21)</f>
        <v>4545265</v>
      </c>
      <c r="E21" s="165">
        <f>VLOOKUP("折舊、折耗及攤銷",收支!$B$14:$N$64,13,0)</f>
        <v>4939187</v>
      </c>
      <c r="F21" s="165">
        <f>VLOOKUP("折舊、折耗及攤銷",對照表!$H$1:$J$29,3,0)</f>
        <v>4939187</v>
      </c>
      <c r="G21" s="361" t="s">
        <v>320</v>
      </c>
      <c r="H21" s="362">
        <f>464532-4645</f>
        <v>459887</v>
      </c>
    </row>
    <row r="22" spans="1:8">
      <c r="A22" s="621"/>
      <c r="B22" s="623"/>
      <c r="C22" s="149" t="s">
        <v>280</v>
      </c>
      <c r="D22" s="164">
        <v>0</v>
      </c>
      <c r="E22" s="164"/>
      <c r="F22" s="134"/>
    </row>
    <row r="23" spans="1:8">
      <c r="A23" s="621"/>
      <c r="B23" s="623"/>
      <c r="C23" s="149" t="s">
        <v>281</v>
      </c>
      <c r="D23" s="164">
        <f>D28-D22-D24-D25-D26-D27</f>
        <v>-5</v>
      </c>
      <c r="E23" s="164"/>
      <c r="F23" s="134" t="s">
        <v>282</v>
      </c>
    </row>
    <row r="24" spans="1:8">
      <c r="A24" s="621"/>
      <c r="B24" s="623"/>
      <c r="C24" s="149" t="s">
        <v>283</v>
      </c>
      <c r="D24" s="164"/>
      <c r="E24" s="164"/>
      <c r="F24" s="134" t="s">
        <v>284</v>
      </c>
    </row>
    <row r="25" spans="1:8">
      <c r="A25" s="621"/>
      <c r="B25" s="623"/>
      <c r="C25" s="149" t="s">
        <v>285</v>
      </c>
      <c r="D25" s="164">
        <v>0</v>
      </c>
      <c r="E25" s="164"/>
      <c r="F25" s="134"/>
    </row>
    <row r="26" spans="1:8" ht="15" thickBot="1">
      <c r="A26" s="622"/>
      <c r="B26" s="624"/>
      <c r="C26" s="149" t="s">
        <v>286</v>
      </c>
      <c r="D26" s="164"/>
      <c r="E26" s="164"/>
      <c r="F26" s="134"/>
      <c r="H26" s="132"/>
    </row>
    <row r="27" spans="1:8" ht="33.75" thickBot="1">
      <c r="A27" s="61" t="s">
        <v>131</v>
      </c>
      <c r="B27" s="62" t="s">
        <v>142</v>
      </c>
      <c r="C27" s="149" t="s">
        <v>287</v>
      </c>
      <c r="D27" s="164">
        <v>5</v>
      </c>
      <c r="E27" s="164"/>
      <c r="F27" s="134"/>
    </row>
    <row r="28" spans="1:8" ht="33.75" thickBot="1">
      <c r="A28" s="61" t="s">
        <v>66</v>
      </c>
      <c r="B28" s="62" t="s">
        <v>132</v>
      </c>
      <c r="C28" s="149" t="s">
        <v>288</v>
      </c>
      <c r="D28" s="164"/>
      <c r="E28" s="164"/>
      <c r="F28" s="134" t="s">
        <v>289</v>
      </c>
    </row>
    <row r="29" spans="1:8" ht="17.25" thickBot="1">
      <c r="A29" s="61" t="s">
        <v>133</v>
      </c>
      <c r="B29" s="62" t="s">
        <v>134</v>
      </c>
      <c r="D29" s="152"/>
      <c r="E29" s="152"/>
    </row>
    <row r="30" spans="1:8">
      <c r="A30" s="620" t="s">
        <v>135</v>
      </c>
      <c r="B30" s="620" t="s">
        <v>136</v>
      </c>
      <c r="D30" s="165"/>
      <c r="E30" s="165"/>
      <c r="F30" s="152"/>
    </row>
    <row r="31" spans="1:8">
      <c r="A31" s="623"/>
      <c r="B31" s="623"/>
      <c r="D31" s="165"/>
      <c r="E31" s="165"/>
      <c r="F31" s="152"/>
    </row>
    <row r="32" spans="1:8" ht="15" thickBot="1">
      <c r="A32" s="622"/>
      <c r="B32" s="622"/>
      <c r="D32" s="165"/>
      <c r="E32" s="165"/>
      <c r="F32" s="152"/>
    </row>
    <row r="33" spans="1:2" ht="15" thickBot="1">
      <c r="A33" s="166"/>
      <c r="B33" s="166"/>
    </row>
    <row r="34" spans="1:2" ht="15" thickBot="1">
      <c r="A34" s="166"/>
      <c r="B34" s="166"/>
    </row>
    <row r="35" spans="1:2" ht="15" thickBot="1">
      <c r="A35" s="166"/>
      <c r="B35" s="166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9" priority="71" stopIfTrue="1">
      <formula>$D$16&lt;&gt;$E$16</formula>
    </cfRule>
  </conditionalFormatting>
  <conditionalFormatting sqref="D32:E32">
    <cfRule type="expression" dxfId="88" priority="64" stopIfTrue="1">
      <formula>$D$32&lt;&gt;$E$32</formula>
    </cfRule>
  </conditionalFormatting>
  <conditionalFormatting sqref="D17:E17">
    <cfRule type="expression" dxfId="87" priority="62" stopIfTrue="1">
      <formula>$D17&lt;&gt;$E17</formula>
    </cfRule>
  </conditionalFormatting>
  <conditionalFormatting sqref="D18:E18 E19">
    <cfRule type="expression" dxfId="86" priority="61" stopIfTrue="1">
      <formula>$D$18&lt;&gt;$E$18</formula>
    </cfRule>
  </conditionalFormatting>
  <conditionalFormatting sqref="E28">
    <cfRule type="expression" dxfId="85" priority="55" stopIfTrue="1">
      <formula>$D$30&lt;&gt;$E$30</formula>
    </cfRule>
  </conditionalFormatting>
  <conditionalFormatting sqref="E29">
    <cfRule type="expression" dxfId="84" priority="54" stopIfTrue="1">
      <formula>$F$31&lt;&gt;0</formula>
    </cfRule>
  </conditionalFormatting>
  <conditionalFormatting sqref="E30">
    <cfRule type="expression" dxfId="83" priority="51" stopIfTrue="1">
      <formula>$D$30&lt;&gt;$E$30</formula>
    </cfRule>
  </conditionalFormatting>
  <conditionalFormatting sqref="E31">
    <cfRule type="expression" dxfId="82" priority="50" stopIfTrue="1">
      <formula>$F$31&lt;&gt;0</formula>
    </cfRule>
  </conditionalFormatting>
  <conditionalFormatting sqref="D27 D22:E23">
    <cfRule type="expression" dxfId="81" priority="48" stopIfTrue="1">
      <formula>$D23&lt;&gt;$E23</formula>
    </cfRule>
  </conditionalFormatting>
  <conditionalFormatting sqref="E28">
    <cfRule type="expression" dxfId="80" priority="47" stopIfTrue="1">
      <formula>$D$30&lt;&gt;$E$30</formula>
    </cfRule>
  </conditionalFormatting>
  <conditionalFormatting sqref="E28">
    <cfRule type="expression" dxfId="79" priority="46" stopIfTrue="1">
      <formula>$D28&lt;&gt;$E28</formula>
    </cfRule>
  </conditionalFormatting>
  <conditionalFormatting sqref="D28">
    <cfRule type="expression" dxfId="78" priority="45" stopIfTrue="1">
      <formula>$D28&lt;&gt;$E28</formula>
    </cfRule>
  </conditionalFormatting>
  <conditionalFormatting sqref="D24:D26">
    <cfRule type="expression" dxfId="77" priority="44" stopIfTrue="1">
      <formula>$D24&lt;&gt;$E24</formula>
    </cfRule>
  </conditionalFormatting>
  <conditionalFormatting sqref="D27">
    <cfRule type="expression" dxfId="76" priority="43" stopIfTrue="1">
      <formula>$D27&lt;&gt;$E27</formula>
    </cfRule>
  </conditionalFormatting>
  <conditionalFormatting sqref="D14 F14:F15">
    <cfRule type="expression" dxfId="75" priority="42">
      <formula>$D$14&lt;&gt;$F$14</formula>
    </cfRule>
  </conditionalFormatting>
  <conditionalFormatting sqref="F15">
    <cfRule type="expression" dxfId="74" priority="34">
      <formula>$E$15&lt;&gt;$F$15</formula>
    </cfRule>
    <cfRule type="expression" dxfId="73" priority="35">
      <formula>$D$15&lt;&gt;$F$15</formula>
    </cfRule>
    <cfRule type="expression" dxfId="72" priority="40">
      <formula>$D$14&lt;&gt;$F$14</formula>
    </cfRule>
  </conditionalFormatting>
  <conditionalFormatting sqref="D15">
    <cfRule type="expression" dxfId="71" priority="38">
      <formula>$D$15&lt;&gt;$F$15</formula>
    </cfRule>
    <cfRule type="expression" dxfId="70" priority="39">
      <formula>$D$15&lt;&gt;$E$15</formula>
    </cfRule>
  </conditionalFormatting>
  <conditionalFormatting sqref="E15">
    <cfRule type="expression" dxfId="69" priority="36">
      <formula>$E$15&lt;&gt;$F$15</formula>
    </cfRule>
    <cfRule type="expression" dxfId="68" priority="37">
      <formula>$D$15&lt;&gt;$E$15</formula>
    </cfRule>
  </conditionalFormatting>
  <conditionalFormatting sqref="D7:E7">
    <cfRule type="expression" dxfId="67" priority="33">
      <formula>$D$7&lt;&gt;$E$7</formula>
    </cfRule>
  </conditionalFormatting>
  <conditionalFormatting sqref="D8:E8">
    <cfRule type="expression" dxfId="66" priority="32">
      <formula>$D$8&lt;&gt;$E$8</formula>
    </cfRule>
  </conditionalFormatting>
  <conditionalFormatting sqref="E16:E17">
    <cfRule type="expression" dxfId="65" priority="74" stopIfTrue="1">
      <formula>#REF!&lt;&gt;#REF!</formula>
    </cfRule>
  </conditionalFormatting>
  <conditionalFormatting sqref="E18:E19">
    <cfRule type="expression" dxfId="64" priority="95" stopIfTrue="1">
      <formula>#REF!&lt;&gt;#REF!</formula>
    </cfRule>
  </conditionalFormatting>
  <conditionalFormatting sqref="E6:E7">
    <cfRule type="expression" dxfId="63" priority="97" stopIfTrue="1">
      <formula>$D13&lt;&gt;$F13</formula>
    </cfRule>
  </conditionalFormatting>
  <conditionalFormatting sqref="D20:F20">
    <cfRule type="expression" dxfId="62" priority="16">
      <formula>$D$20&lt;&gt;$E$20</formula>
    </cfRule>
  </conditionalFormatting>
  <conditionalFormatting sqref="D20:F20">
    <cfRule type="expression" dxfId="61" priority="15">
      <formula>$E$20&lt;&gt;$F$20</formula>
    </cfRule>
  </conditionalFormatting>
  <conditionalFormatting sqref="D21:F21">
    <cfRule type="expression" dxfId="60" priority="10">
      <formula>$D$21&lt;&gt;$E$21</formula>
    </cfRule>
  </conditionalFormatting>
  <conditionalFormatting sqref="D21:F21">
    <cfRule type="expression" dxfId="59" priority="9">
      <formula>$D$21&lt;&gt;$F$21</formula>
    </cfRule>
  </conditionalFormatting>
  <conditionalFormatting sqref="D9:F9">
    <cfRule type="expression" dxfId="58" priority="6">
      <formula>$D$9&lt;&gt;$F$9</formula>
    </cfRule>
    <cfRule type="expression" dxfId="57" priority="7">
      <formula>$D$9&lt;&gt;$E$9</formula>
    </cfRule>
  </conditionalFormatting>
  <conditionalFormatting sqref="D10:G10">
    <cfRule type="expression" dxfId="56" priority="3">
      <formula>$D$10&lt;&gt;$E$10</formula>
    </cfRule>
  </conditionalFormatting>
  <conditionalFormatting sqref="F12:G12">
    <cfRule type="expression" dxfId="5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view="pageBreakPreview" zoomScaleSheetLayoutView="100"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I28" sqref="I28"/>
    </sheetView>
  </sheetViews>
  <sheetFormatPr defaultColWidth="9.140625" defaultRowHeight="12.75"/>
  <cols>
    <col min="1" max="1" width="8" style="243" bestFit="1" customWidth="1"/>
    <col min="2" max="2" width="49.7109375" style="243" customWidth="1"/>
    <col min="3" max="3" width="5.5703125" style="275" bestFit="1" customWidth="1"/>
    <col min="4" max="5" width="4.28515625" style="275" bestFit="1" customWidth="1"/>
    <col min="6" max="6" width="13.5703125" style="275" bestFit="1" customWidth="1"/>
    <col min="7" max="7" width="11.42578125" style="244" bestFit="1" customWidth="1"/>
    <col min="8" max="9" width="13.140625" style="244" customWidth="1"/>
    <col min="10" max="10" width="11.28515625" style="244" customWidth="1"/>
    <col min="11" max="11" width="11.28515625" style="244" bestFit="1" customWidth="1"/>
    <col min="12" max="12" width="11.42578125" style="244" bestFit="1" customWidth="1"/>
    <col min="13" max="13" width="11.5703125" style="244" bestFit="1" customWidth="1"/>
    <col min="14" max="14" width="14" style="243" bestFit="1" customWidth="1"/>
    <col min="15" max="15" width="15" style="243" customWidth="1"/>
    <col min="16" max="16" width="12.42578125" style="243" customWidth="1"/>
    <col min="17" max="16384" width="9.140625" style="243"/>
  </cols>
  <sheetData>
    <row r="1" spans="1:13" ht="21">
      <c r="B1" s="834" t="s">
        <v>276</v>
      </c>
      <c r="C1" s="834"/>
      <c r="D1" s="834"/>
      <c r="E1" s="834"/>
      <c r="F1" s="834"/>
      <c r="G1" s="834"/>
      <c r="H1" s="834"/>
      <c r="I1" s="834"/>
      <c r="J1" s="834"/>
      <c r="K1" s="834"/>
      <c r="L1" s="834"/>
    </row>
    <row r="2" spans="1:13" ht="21">
      <c r="B2" s="834" t="s">
        <v>228</v>
      </c>
      <c r="C2" s="834"/>
      <c r="D2" s="834"/>
      <c r="E2" s="834"/>
      <c r="F2" s="834"/>
      <c r="G2" s="834"/>
      <c r="H2" s="834"/>
      <c r="I2" s="834"/>
      <c r="J2" s="834"/>
      <c r="K2" s="834"/>
      <c r="L2" s="834"/>
    </row>
    <row r="3" spans="1:13" ht="21">
      <c r="B3" s="834" t="str">
        <f>封面!E10&amp;封面!H10&amp;封面!I10&amp;封面!J10&amp;封面!K10&amp;封面!L10</f>
        <v>中華民國114年5月份</v>
      </c>
      <c r="C3" s="834"/>
      <c r="D3" s="834"/>
      <c r="E3" s="834"/>
      <c r="F3" s="834"/>
      <c r="G3" s="834"/>
      <c r="H3" s="834"/>
      <c r="I3" s="834"/>
      <c r="J3" s="834"/>
      <c r="K3" s="834"/>
      <c r="L3" s="834"/>
    </row>
    <row r="4" spans="1:13" ht="21">
      <c r="B4" s="245" t="s">
        <v>290</v>
      </c>
      <c r="C4" s="246"/>
      <c r="D4" s="246"/>
      <c r="E4" s="246"/>
      <c r="F4" s="246"/>
      <c r="G4" s="247"/>
      <c r="H4" s="247"/>
      <c r="I4" s="247"/>
      <c r="J4" s="835"/>
      <c r="K4" s="835"/>
      <c r="L4" s="836"/>
    </row>
    <row r="5" spans="1:13" ht="16.5">
      <c r="A5" s="837" t="s">
        <v>229</v>
      </c>
      <c r="B5" s="838"/>
      <c r="C5" s="841" t="s">
        <v>230</v>
      </c>
      <c r="D5" s="841"/>
      <c r="E5" s="841"/>
      <c r="F5" s="842" t="s">
        <v>231</v>
      </c>
      <c r="G5" s="844" t="s">
        <v>232</v>
      </c>
      <c r="H5" s="845"/>
      <c r="I5" s="845"/>
      <c r="J5" s="845"/>
      <c r="K5" s="845"/>
      <c r="L5" s="846"/>
    </row>
    <row r="6" spans="1:13" ht="39.75" customHeight="1">
      <c r="A6" s="839"/>
      <c r="B6" s="840"/>
      <c r="C6" s="242" t="s">
        <v>233</v>
      </c>
      <c r="D6" s="242" t="s">
        <v>234</v>
      </c>
      <c r="E6" s="242" t="s">
        <v>235</v>
      </c>
      <c r="F6" s="843"/>
      <c r="G6" s="248" t="s">
        <v>454</v>
      </c>
      <c r="H6" s="248" t="s">
        <v>455</v>
      </c>
      <c r="I6" s="248" t="s">
        <v>467</v>
      </c>
      <c r="J6" s="248" t="s">
        <v>466</v>
      </c>
      <c r="K6" s="248" t="s">
        <v>465</v>
      </c>
      <c r="L6" s="248" t="s">
        <v>464</v>
      </c>
    </row>
    <row r="7" spans="1:13" ht="21">
      <c r="A7" s="828" t="s">
        <v>236</v>
      </c>
      <c r="B7" s="829"/>
      <c r="C7" s="242"/>
      <c r="D7" s="242"/>
      <c r="E7" s="242"/>
      <c r="F7" s="249"/>
      <c r="G7" s="847">
        <f>SUM(G8:L9)</f>
        <v>15125723</v>
      </c>
      <c r="H7" s="848"/>
      <c r="I7" s="848"/>
      <c r="J7" s="848"/>
      <c r="K7" s="848"/>
      <c r="L7" s="849"/>
      <c r="M7" s="255">
        <f>SUM(G7:L7)</f>
        <v>15125723</v>
      </c>
    </row>
    <row r="8" spans="1:13" ht="16.5">
      <c r="A8" s="828" t="s">
        <v>237</v>
      </c>
      <c r="B8" s="829"/>
      <c r="C8" s="250"/>
      <c r="D8" s="250"/>
      <c r="E8" s="250"/>
      <c r="F8" s="251"/>
      <c r="G8" s="252">
        <f>'勾稽 (2)'!D25</f>
        <v>1083060</v>
      </c>
      <c r="H8" s="252">
        <f>'勾稽 (2)'!D26</f>
        <v>1083127</v>
      </c>
      <c r="I8" s="252">
        <f>'勾稽 (2)'!D27</f>
        <v>12317068</v>
      </c>
      <c r="J8" s="252">
        <f>'勾稽 (2)'!D28</f>
        <v>0</v>
      </c>
      <c r="K8" s="252">
        <f>'勾稽 (2)'!D29</f>
        <v>500</v>
      </c>
      <c r="L8" s="252">
        <f>'勾稽 (2)'!D30</f>
        <v>641968</v>
      </c>
      <c r="M8" s="255">
        <f>SUM(G8:L8)</f>
        <v>15125723</v>
      </c>
    </row>
    <row r="9" spans="1:13" ht="16.5">
      <c r="A9" s="401"/>
      <c r="B9" s="402" t="s">
        <v>423</v>
      </c>
      <c r="C9" s="250"/>
      <c r="D9" s="250"/>
      <c r="E9" s="250"/>
      <c r="F9" s="251"/>
      <c r="G9" s="252"/>
      <c r="H9" s="252"/>
      <c r="I9" s="252"/>
      <c r="J9" s="252"/>
      <c r="K9" s="252"/>
      <c r="L9" s="252"/>
      <c r="M9" s="255">
        <f>SUM(G9:L9)</f>
        <v>0</v>
      </c>
    </row>
    <row r="10" spans="1:13" ht="16.5">
      <c r="A10" s="828" t="s">
        <v>238</v>
      </c>
      <c r="B10" s="829"/>
      <c r="C10" s="253"/>
      <c r="D10" s="253"/>
      <c r="E10" s="253"/>
      <c r="F10" s="251"/>
      <c r="G10" s="254">
        <f t="shared" ref="G10:J10" si="0">SUM(G11:G13)</f>
        <v>0</v>
      </c>
      <c r="H10" s="254">
        <f t="shared" si="0"/>
        <v>0</v>
      </c>
      <c r="I10" s="254">
        <f t="shared" si="0"/>
        <v>9360</v>
      </c>
      <c r="J10" s="254">
        <f t="shared" si="0"/>
        <v>0</v>
      </c>
      <c r="K10" s="254">
        <f t="shared" ref="K10" si="1">SUM(K11:K13)</f>
        <v>0</v>
      </c>
      <c r="L10" s="254">
        <f>SUM(L11:L13)</f>
        <v>0</v>
      </c>
      <c r="M10" s="255">
        <f>SUM(G10:L10)</f>
        <v>9360</v>
      </c>
    </row>
    <row r="11" spans="1:13" ht="16.5">
      <c r="A11" s="281" t="s">
        <v>239</v>
      </c>
      <c r="B11" s="282"/>
      <c r="C11" s="253"/>
      <c r="D11" s="253"/>
      <c r="E11" s="253"/>
      <c r="F11" s="251"/>
      <c r="G11" s="256"/>
      <c r="H11" s="256"/>
      <c r="I11" s="256">
        <v>9360</v>
      </c>
      <c r="J11" s="256"/>
      <c r="K11" s="256"/>
      <c r="L11" s="256"/>
      <c r="M11" s="255"/>
    </row>
    <row r="12" spans="1:13" ht="16.5">
      <c r="A12" s="281" t="s">
        <v>240</v>
      </c>
      <c r="B12" s="282"/>
      <c r="C12" s="253"/>
      <c r="D12" s="253"/>
      <c r="E12" s="253"/>
      <c r="F12" s="251"/>
      <c r="G12" s="256"/>
      <c r="H12" s="256"/>
      <c r="I12" s="256"/>
      <c r="J12" s="256"/>
      <c r="K12" s="256"/>
      <c r="L12" s="256"/>
      <c r="M12" s="255"/>
    </row>
    <row r="13" spans="1:13" ht="16.5">
      <c r="A13" s="281" t="s">
        <v>241</v>
      </c>
      <c r="B13" s="282"/>
      <c r="C13" s="253"/>
      <c r="D13" s="253"/>
      <c r="E13" s="253"/>
      <c r="F13" s="251"/>
      <c r="G13" s="256"/>
      <c r="H13" s="256"/>
      <c r="I13" s="256"/>
      <c r="J13" s="256"/>
      <c r="K13" s="256"/>
      <c r="L13" s="256"/>
      <c r="M13" s="255"/>
    </row>
    <row r="14" spans="1:13" ht="16.5">
      <c r="A14" s="826" t="s">
        <v>242</v>
      </c>
      <c r="B14" s="829"/>
      <c r="C14" s="253"/>
      <c r="D14" s="253"/>
      <c r="E14" s="253"/>
      <c r="F14" s="251"/>
      <c r="G14" s="257">
        <f t="shared" ref="G14:J14" si="2">SUM(G15:G34)</f>
        <v>0</v>
      </c>
      <c r="H14" s="257">
        <f t="shared" si="2"/>
        <v>0</v>
      </c>
      <c r="I14" s="257">
        <f t="shared" si="2"/>
        <v>1453456</v>
      </c>
      <c r="J14" s="257">
        <f t="shared" si="2"/>
        <v>0</v>
      </c>
      <c r="K14" s="257">
        <f t="shared" ref="K14" si="3">SUM(K15:K34)</f>
        <v>0</v>
      </c>
      <c r="L14" s="257">
        <f>SUM(L15:L34)</f>
        <v>0</v>
      </c>
      <c r="M14" s="255">
        <f>SUM(G14:L14)</f>
        <v>1453456</v>
      </c>
    </row>
    <row r="15" spans="1:13" ht="16.5">
      <c r="A15" s="281" t="s">
        <v>239</v>
      </c>
      <c r="B15" s="282"/>
      <c r="C15" s="258"/>
      <c r="D15" s="258"/>
      <c r="E15" s="258"/>
      <c r="F15" s="251"/>
      <c r="G15" s="259"/>
      <c r="H15" s="259"/>
      <c r="I15" s="259">
        <v>12000</v>
      </c>
      <c r="J15" s="259"/>
      <c r="K15" s="259"/>
      <c r="L15" s="259"/>
    </row>
    <row r="16" spans="1:13" ht="16.5">
      <c r="A16" s="281" t="s">
        <v>240</v>
      </c>
      <c r="B16" s="282"/>
      <c r="C16" s="258"/>
      <c r="D16" s="258"/>
      <c r="E16" s="258"/>
      <c r="F16" s="260"/>
      <c r="G16" s="259"/>
      <c r="H16" s="259"/>
      <c r="I16" s="259">
        <v>6404</v>
      </c>
      <c r="J16" s="259"/>
      <c r="K16" s="259"/>
      <c r="L16" s="259"/>
    </row>
    <row r="17" spans="1:13" ht="16.5">
      <c r="A17" s="281" t="s">
        <v>241</v>
      </c>
      <c r="B17" s="282"/>
      <c r="C17" s="258"/>
      <c r="D17" s="258"/>
      <c r="E17" s="258"/>
      <c r="F17" s="251"/>
      <c r="G17" s="259"/>
      <c r="H17" s="259"/>
      <c r="I17" s="259">
        <v>900</v>
      </c>
      <c r="J17" s="259"/>
      <c r="K17" s="259"/>
      <c r="L17" s="259"/>
    </row>
    <row r="18" spans="1:13" ht="16.5">
      <c r="A18" s="281" t="s">
        <v>243</v>
      </c>
      <c r="B18" s="282"/>
      <c r="C18" s="258"/>
      <c r="D18" s="258"/>
      <c r="E18" s="258"/>
      <c r="F18" s="251"/>
      <c r="G18" s="259"/>
      <c r="H18" s="259"/>
      <c r="I18" s="259">
        <v>21475</v>
      </c>
      <c r="J18" s="259"/>
      <c r="K18" s="259"/>
      <c r="L18" s="259"/>
      <c r="M18" s="243"/>
    </row>
    <row r="19" spans="1:13" ht="16.5">
      <c r="A19" s="281" t="s">
        <v>244</v>
      </c>
      <c r="B19" s="282"/>
      <c r="C19" s="258"/>
      <c r="D19" s="258"/>
      <c r="E19" s="258"/>
      <c r="F19" s="251"/>
      <c r="G19" s="259"/>
      <c r="H19" s="259"/>
      <c r="I19" s="259">
        <v>46100</v>
      </c>
      <c r="J19" s="259"/>
      <c r="K19" s="259"/>
      <c r="L19" s="259"/>
      <c r="M19" s="243"/>
    </row>
    <row r="20" spans="1:13" ht="16.5">
      <c r="A20" s="281" t="s">
        <v>245</v>
      </c>
      <c r="B20" s="282"/>
      <c r="C20" s="258"/>
      <c r="D20" s="258"/>
      <c r="E20" s="258"/>
      <c r="F20" s="251"/>
      <c r="G20" s="259"/>
      <c r="H20" s="259"/>
      <c r="I20" s="259">
        <v>8400</v>
      </c>
      <c r="J20" s="259"/>
      <c r="K20" s="259"/>
      <c r="L20" s="259"/>
      <c r="M20" s="243"/>
    </row>
    <row r="21" spans="1:13" ht="16.5">
      <c r="A21" s="281" t="s">
        <v>246</v>
      </c>
      <c r="B21" s="282"/>
      <c r="C21" s="258"/>
      <c r="D21" s="258"/>
      <c r="E21" s="258"/>
      <c r="F21" s="251"/>
      <c r="G21" s="259"/>
      <c r="H21" s="259"/>
      <c r="I21" s="259">
        <v>2149</v>
      </c>
      <c r="J21" s="259"/>
      <c r="K21" s="259"/>
      <c r="L21" s="259"/>
      <c r="M21" s="243"/>
    </row>
    <row r="22" spans="1:13" ht="16.5">
      <c r="A22" s="281" t="s">
        <v>247</v>
      </c>
      <c r="B22" s="282"/>
      <c r="C22" s="258"/>
      <c r="D22" s="258"/>
      <c r="E22" s="258"/>
      <c r="F22" s="251"/>
      <c r="G22" s="259"/>
      <c r="H22" s="259"/>
      <c r="I22" s="259">
        <v>110944</v>
      </c>
      <c r="J22" s="259"/>
      <c r="K22" s="259"/>
      <c r="L22" s="259"/>
      <c r="M22" s="243"/>
    </row>
    <row r="23" spans="1:13" ht="16.5">
      <c r="A23" s="281" t="s">
        <v>248</v>
      </c>
      <c r="B23" s="282"/>
      <c r="C23" s="258"/>
      <c r="D23" s="258"/>
      <c r="E23" s="258"/>
      <c r="F23" s="251"/>
      <c r="G23" s="259"/>
      <c r="H23" s="259"/>
      <c r="I23" s="259">
        <v>118538</v>
      </c>
      <c r="J23" s="259"/>
      <c r="K23" s="259"/>
      <c r="L23" s="259"/>
      <c r="M23" s="243"/>
    </row>
    <row r="24" spans="1:13" ht="16.5">
      <c r="A24" s="281" t="s">
        <v>249</v>
      </c>
      <c r="B24" s="282" t="s">
        <v>982</v>
      </c>
      <c r="C24" s="258"/>
      <c r="D24" s="258"/>
      <c r="E24" s="258"/>
      <c r="F24" s="251"/>
      <c r="G24" s="259"/>
      <c r="H24" s="259"/>
      <c r="I24" s="259">
        <v>245709</v>
      </c>
      <c r="J24" s="259"/>
      <c r="K24" s="259"/>
      <c r="L24" s="259"/>
      <c r="M24" s="243"/>
    </row>
    <row r="25" spans="1:13" ht="16.5">
      <c r="A25" s="281" t="s">
        <v>250</v>
      </c>
      <c r="B25" s="282" t="s">
        <v>982</v>
      </c>
      <c r="C25" s="258"/>
      <c r="D25" s="258"/>
      <c r="E25" s="258"/>
      <c r="F25" s="251"/>
      <c r="G25" s="259"/>
      <c r="H25" s="259"/>
      <c r="I25" s="259">
        <v>481514</v>
      </c>
      <c r="J25" s="259"/>
      <c r="K25" s="259"/>
      <c r="L25" s="259"/>
      <c r="M25" s="243"/>
    </row>
    <row r="26" spans="1:13" ht="16.5">
      <c r="A26" s="281" t="s">
        <v>251</v>
      </c>
      <c r="B26" s="282" t="s">
        <v>982</v>
      </c>
      <c r="C26" s="258"/>
      <c r="D26" s="258"/>
      <c r="E26" s="258"/>
      <c r="F26" s="251"/>
      <c r="G26" s="259"/>
      <c r="H26" s="259"/>
      <c r="I26" s="259">
        <v>251832</v>
      </c>
      <c r="J26" s="259"/>
      <c r="K26" s="259"/>
      <c r="L26" s="259"/>
      <c r="M26" s="243"/>
    </row>
    <row r="27" spans="1:13" ht="16.5">
      <c r="A27" s="281" t="s">
        <v>252</v>
      </c>
      <c r="B27" s="282" t="s">
        <v>982</v>
      </c>
      <c r="C27" s="258"/>
      <c r="D27" s="258"/>
      <c r="E27" s="258"/>
      <c r="F27" s="251"/>
      <c r="G27" s="259"/>
      <c r="H27" s="259"/>
      <c r="I27" s="259">
        <v>82491</v>
      </c>
      <c r="J27" s="259"/>
      <c r="K27" s="259"/>
      <c r="L27" s="259"/>
      <c r="M27" s="243"/>
    </row>
    <row r="28" spans="1:13" ht="16.5">
      <c r="A28" s="281" t="s">
        <v>253</v>
      </c>
      <c r="B28" s="282" t="s">
        <v>982</v>
      </c>
      <c r="C28" s="258"/>
      <c r="D28" s="258"/>
      <c r="E28" s="258"/>
      <c r="F28" s="251"/>
      <c r="G28" s="259"/>
      <c r="H28" s="259"/>
      <c r="I28" s="259">
        <v>65000</v>
      </c>
      <c r="J28" s="259"/>
      <c r="K28" s="259"/>
      <c r="L28" s="259"/>
      <c r="M28" s="243"/>
    </row>
    <row r="29" spans="1:13" ht="16.5">
      <c r="A29" s="281" t="s">
        <v>254</v>
      </c>
      <c r="B29" s="282"/>
      <c r="C29" s="258"/>
      <c r="D29" s="258"/>
      <c r="E29" s="258"/>
      <c r="F29" s="251"/>
      <c r="G29" s="259"/>
      <c r="H29" s="259"/>
      <c r="I29" s="259"/>
      <c r="J29" s="259"/>
      <c r="K29" s="259"/>
      <c r="L29" s="259"/>
      <c r="M29" s="243"/>
    </row>
    <row r="30" spans="1:13" ht="16.5">
      <c r="A30" s="281" t="s">
        <v>255</v>
      </c>
      <c r="B30" s="282"/>
      <c r="C30" s="258"/>
      <c r="D30" s="258"/>
      <c r="E30" s="258"/>
      <c r="F30" s="251"/>
      <c r="G30" s="259"/>
      <c r="H30" s="259"/>
      <c r="I30" s="259"/>
      <c r="J30" s="259"/>
      <c r="K30" s="259"/>
      <c r="L30" s="259"/>
      <c r="M30" s="243"/>
    </row>
    <row r="31" spans="1:13" ht="16.5">
      <c r="A31" s="281" t="s">
        <v>256</v>
      </c>
      <c r="B31" s="282"/>
      <c r="C31" s="258"/>
      <c r="D31" s="258"/>
      <c r="E31" s="258"/>
      <c r="F31" s="251"/>
      <c r="G31" s="259"/>
      <c r="H31" s="259"/>
      <c r="I31" s="259"/>
      <c r="J31" s="259"/>
      <c r="K31" s="259"/>
      <c r="L31" s="259"/>
      <c r="M31" s="243"/>
    </row>
    <row r="32" spans="1:13" ht="16.5">
      <c r="A32" s="281" t="s">
        <v>257</v>
      </c>
      <c r="B32" s="282"/>
      <c r="C32" s="258"/>
      <c r="D32" s="258"/>
      <c r="E32" s="258"/>
      <c r="F32" s="251"/>
      <c r="G32" s="259"/>
      <c r="H32" s="259"/>
      <c r="I32" s="259"/>
      <c r="J32" s="259"/>
      <c r="K32" s="259"/>
      <c r="L32" s="259"/>
      <c r="M32" s="243"/>
    </row>
    <row r="33" spans="1:15" ht="16.5">
      <c r="A33" s="281" t="s">
        <v>258</v>
      </c>
      <c r="B33" s="282"/>
      <c r="C33" s="258"/>
      <c r="D33" s="258"/>
      <c r="E33" s="258"/>
      <c r="F33" s="251"/>
      <c r="G33" s="259"/>
      <c r="H33" s="259"/>
      <c r="I33" s="259"/>
      <c r="J33" s="259"/>
      <c r="K33" s="259"/>
      <c r="L33" s="259"/>
      <c r="M33" s="243"/>
    </row>
    <row r="34" spans="1:15" ht="16.5">
      <c r="A34" s="281" t="s">
        <v>259</v>
      </c>
      <c r="B34" s="282"/>
      <c r="C34" s="258"/>
      <c r="D34" s="258"/>
      <c r="E34" s="258"/>
      <c r="F34" s="251"/>
      <c r="G34" s="259"/>
      <c r="H34" s="259"/>
      <c r="I34" s="259"/>
      <c r="J34" s="259"/>
      <c r="K34" s="259"/>
      <c r="L34" s="259"/>
    </row>
    <row r="35" spans="1:15" ht="16.5">
      <c r="A35" s="826" t="s">
        <v>270</v>
      </c>
      <c r="B35" s="827"/>
      <c r="C35" s="261"/>
      <c r="D35" s="261"/>
      <c r="E35" s="261"/>
      <c r="F35" s="251"/>
      <c r="G35" s="262">
        <f t="shared" ref="G35:J35" si="4">SUM(G36:G38)</f>
        <v>0</v>
      </c>
      <c r="H35" s="262">
        <f t="shared" si="4"/>
        <v>0</v>
      </c>
      <c r="I35" s="262">
        <f t="shared" si="4"/>
        <v>0</v>
      </c>
      <c r="J35" s="262">
        <f t="shared" si="4"/>
        <v>0</v>
      </c>
      <c r="K35" s="262">
        <f t="shared" ref="K35" si="5">SUM(K36:K38)</f>
        <v>0</v>
      </c>
      <c r="L35" s="262">
        <f>SUM(L36:L38)</f>
        <v>0</v>
      </c>
      <c r="M35" s="255">
        <f>SUM(G35:L35)</f>
        <v>0</v>
      </c>
      <c r="N35" s="263"/>
    </row>
    <row r="36" spans="1:15" ht="16.5">
      <c r="A36" s="281" t="s">
        <v>271</v>
      </c>
      <c r="B36" s="282"/>
      <c r="C36" s="264"/>
      <c r="D36" s="264"/>
      <c r="E36" s="264"/>
      <c r="F36" s="265"/>
      <c r="G36" s="259"/>
      <c r="H36" s="259"/>
      <c r="I36" s="259"/>
      <c r="J36" s="259"/>
      <c r="K36" s="259"/>
      <c r="L36" s="259"/>
      <c r="N36" s="266"/>
    </row>
    <row r="37" spans="1:15" ht="16.5">
      <c r="A37" s="281" t="s">
        <v>240</v>
      </c>
      <c r="B37" s="282"/>
      <c r="C37" s="264"/>
      <c r="D37" s="264"/>
      <c r="E37" s="264"/>
      <c r="F37" s="265"/>
      <c r="G37" s="259"/>
      <c r="H37" s="259"/>
      <c r="I37" s="259"/>
      <c r="J37" s="259"/>
      <c r="K37" s="259"/>
      <c r="L37" s="259"/>
      <c r="N37" s="266"/>
    </row>
    <row r="38" spans="1:15" ht="16.5">
      <c r="A38" s="281" t="s">
        <v>241</v>
      </c>
      <c r="B38" s="282"/>
      <c r="C38" s="264"/>
      <c r="D38" s="264"/>
      <c r="E38" s="264"/>
      <c r="F38" s="265"/>
      <c r="G38" s="259"/>
      <c r="H38" s="259"/>
      <c r="I38" s="259"/>
      <c r="J38" s="259"/>
      <c r="K38" s="259"/>
      <c r="L38" s="259"/>
      <c r="N38" s="266"/>
    </row>
    <row r="39" spans="1:15" ht="16.5">
      <c r="A39" s="826" t="s">
        <v>272</v>
      </c>
      <c r="B39" s="827"/>
      <c r="C39" s="261"/>
      <c r="D39" s="261"/>
      <c r="E39" s="261"/>
      <c r="F39" s="251"/>
      <c r="G39" s="262">
        <f t="shared" ref="G39:J39" si="6">SUM(G40:G42)</f>
        <v>0</v>
      </c>
      <c r="H39" s="262">
        <f t="shared" si="6"/>
        <v>0</v>
      </c>
      <c r="I39" s="262">
        <f t="shared" si="6"/>
        <v>0</v>
      </c>
      <c r="J39" s="262">
        <f t="shared" si="6"/>
        <v>0</v>
      </c>
      <c r="K39" s="262">
        <f t="shared" ref="K39" si="7">SUM(K40:K42)</f>
        <v>0</v>
      </c>
      <c r="L39" s="262">
        <f>SUM(L40:L42)</f>
        <v>0</v>
      </c>
      <c r="M39" s="255">
        <f>SUM(G39:L39)</f>
        <v>0</v>
      </c>
      <c r="N39" s="263"/>
    </row>
    <row r="40" spans="1:15" ht="16.5">
      <c r="A40" s="281" t="s">
        <v>271</v>
      </c>
      <c r="B40" s="282"/>
      <c r="C40" s="264"/>
      <c r="D40" s="264"/>
      <c r="E40" s="264"/>
      <c r="F40" s="265"/>
      <c r="G40" s="259"/>
      <c r="H40" s="259"/>
      <c r="I40" s="259"/>
      <c r="J40" s="259"/>
      <c r="K40" s="259"/>
      <c r="L40" s="259"/>
      <c r="N40" s="266"/>
    </row>
    <row r="41" spans="1:15" ht="16.5">
      <c r="A41" s="281" t="s">
        <v>240</v>
      </c>
      <c r="B41" s="282"/>
      <c r="C41" s="264"/>
      <c r="D41" s="264"/>
      <c r="E41" s="264"/>
      <c r="F41" s="265"/>
      <c r="G41" s="259"/>
      <c r="H41" s="259"/>
      <c r="I41" s="259"/>
      <c r="J41" s="259"/>
      <c r="K41" s="259"/>
      <c r="L41" s="259"/>
      <c r="N41" s="266"/>
    </row>
    <row r="42" spans="1:15" ht="16.5">
      <c r="A42" s="281" t="s">
        <v>241</v>
      </c>
      <c r="B42" s="282"/>
      <c r="C42" s="264"/>
      <c r="D42" s="264"/>
      <c r="E42" s="264"/>
      <c r="F42" s="265"/>
      <c r="G42" s="259"/>
      <c r="H42" s="259"/>
      <c r="I42" s="259"/>
      <c r="J42" s="259"/>
      <c r="K42" s="259"/>
      <c r="L42" s="259"/>
      <c r="N42" s="266"/>
    </row>
    <row r="43" spans="1:15" ht="16.5">
      <c r="A43" s="828" t="s">
        <v>273</v>
      </c>
      <c r="B43" s="829"/>
      <c r="C43" s="253"/>
      <c r="D43" s="253"/>
      <c r="E43" s="253"/>
      <c r="F43" s="251"/>
      <c r="G43" s="267">
        <f>G8+G10+G14-G35-G39</f>
        <v>1083060</v>
      </c>
      <c r="H43" s="267">
        <f t="shared" ref="H43:L43" si="8">H8+H10+H14-H35-H39</f>
        <v>1083127</v>
      </c>
      <c r="I43" s="267">
        <f t="shared" si="8"/>
        <v>13779884</v>
      </c>
      <c r="J43" s="267">
        <f t="shared" si="8"/>
        <v>0</v>
      </c>
      <c r="K43" s="267">
        <f t="shared" ref="K43" si="9">K8+K10+K14-K35-K39</f>
        <v>500</v>
      </c>
      <c r="L43" s="267">
        <f t="shared" si="8"/>
        <v>641968</v>
      </c>
      <c r="M43" s="255">
        <f>SUM(G43:L43)</f>
        <v>16588539</v>
      </c>
      <c r="N43" s="268"/>
      <c r="O43" s="269"/>
    </row>
    <row r="44" spans="1:15" ht="16.5">
      <c r="A44" s="401"/>
      <c r="B44" s="402" t="s">
        <v>423</v>
      </c>
      <c r="C44" s="253"/>
      <c r="D44" s="253"/>
      <c r="E44" s="253"/>
      <c r="F44" s="251"/>
      <c r="G44" s="400">
        <f>G9</f>
        <v>0</v>
      </c>
      <c r="H44" s="400">
        <f t="shared" ref="H44:L44" si="10">H9</f>
        <v>0</v>
      </c>
      <c r="I44" s="400">
        <f t="shared" si="10"/>
        <v>0</v>
      </c>
      <c r="J44" s="400">
        <f t="shared" si="10"/>
        <v>0</v>
      </c>
      <c r="K44" s="400">
        <f t="shared" ref="K44" si="11">K9</f>
        <v>0</v>
      </c>
      <c r="L44" s="400">
        <f t="shared" si="10"/>
        <v>0</v>
      </c>
      <c r="M44" s="255">
        <f>SUM(G44:L44)</f>
        <v>0</v>
      </c>
      <c r="N44" s="268"/>
      <c r="O44" s="269"/>
    </row>
    <row r="45" spans="1:15" ht="21">
      <c r="A45" s="828" t="s">
        <v>274</v>
      </c>
      <c r="B45" s="829"/>
      <c r="C45" s="253"/>
      <c r="D45" s="253"/>
      <c r="E45" s="253"/>
      <c r="F45" s="251"/>
      <c r="G45" s="830">
        <f>SUM(G43:L44)</f>
        <v>16588539</v>
      </c>
      <c r="H45" s="831"/>
      <c r="I45" s="831"/>
      <c r="J45" s="831"/>
      <c r="K45" s="831"/>
      <c r="L45" s="832"/>
      <c r="M45" s="255">
        <f>SUM(G45:L45)</f>
        <v>16588539</v>
      </c>
      <c r="N45" s="268"/>
      <c r="O45" s="269"/>
    </row>
    <row r="46" spans="1:15" ht="16.5">
      <c r="B46" s="270"/>
      <c r="C46" s="246"/>
      <c r="D46" s="246"/>
      <c r="E46" s="246"/>
      <c r="F46" s="246"/>
      <c r="G46" s="247"/>
      <c r="H46" s="247"/>
      <c r="I46" s="247"/>
      <c r="J46" s="247"/>
      <c r="K46" s="247"/>
      <c r="L46" s="247"/>
      <c r="N46" s="271"/>
      <c r="O46" s="272"/>
    </row>
    <row r="47" spans="1:15" ht="16.5">
      <c r="B47" s="270" t="s">
        <v>469</v>
      </c>
      <c r="C47" s="833" t="s">
        <v>470</v>
      </c>
      <c r="D47" s="833"/>
      <c r="E47" s="833"/>
      <c r="F47" s="833"/>
      <c r="G47" s="273"/>
      <c r="H47" s="273" t="s">
        <v>260</v>
      </c>
      <c r="I47" s="273"/>
      <c r="J47" s="273"/>
      <c r="K47" s="273"/>
      <c r="L47" s="247"/>
      <c r="N47" s="274"/>
      <c r="O47" s="272"/>
    </row>
    <row r="48" spans="1:15" s="427" customFormat="1" ht="16.5">
      <c r="B48" s="420"/>
      <c r="C48" s="421"/>
      <c r="D48" s="421"/>
      <c r="E48" s="421"/>
      <c r="F48" s="421" t="s">
        <v>426</v>
      </c>
      <c r="G48" s="422">
        <v>1083060</v>
      </c>
      <c r="H48" s="422">
        <v>1083127</v>
      </c>
      <c r="I48" s="422">
        <v>13779884</v>
      </c>
      <c r="J48" s="422">
        <v>0</v>
      </c>
      <c r="K48" s="422">
        <v>500</v>
      </c>
      <c r="L48" s="422">
        <v>641968</v>
      </c>
      <c r="M48" s="428"/>
      <c r="N48" s="423"/>
      <c r="O48" s="424"/>
    </row>
    <row r="49" spans="3:16" s="427" customFormat="1" ht="16.5">
      <c r="C49" s="429"/>
      <c r="D49" s="429"/>
      <c r="E49" s="429"/>
      <c r="F49" s="429"/>
      <c r="G49" s="430">
        <f>G43-G48</f>
        <v>0</v>
      </c>
      <c r="H49" s="430">
        <f t="shared" ref="H49:L49" si="12">H43-H48</f>
        <v>0</v>
      </c>
      <c r="I49" s="430">
        <f t="shared" si="12"/>
        <v>0</v>
      </c>
      <c r="J49" s="430">
        <f t="shared" si="12"/>
        <v>0</v>
      </c>
      <c r="K49" s="430">
        <f t="shared" ref="K49" si="13">K43-K48</f>
        <v>0</v>
      </c>
      <c r="L49" s="430">
        <f t="shared" si="12"/>
        <v>0</v>
      </c>
      <c r="M49" s="428"/>
      <c r="N49" s="425"/>
      <c r="O49" s="426"/>
      <c r="P49" s="426"/>
    </row>
    <row r="50" spans="3:16" ht="16.5">
      <c r="N50" s="276"/>
      <c r="O50" s="276"/>
      <c r="P50" s="276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38">
    <cfRule type="expression" dxfId="10" priority="10" stopIfTrue="1">
      <formula>AND($N15&gt;0,$N15=$O15)</formula>
    </cfRule>
  </conditionalFormatting>
  <conditionalFormatting sqref="C39:E42">
    <cfRule type="expression" dxfId="9" priority="8" stopIfTrue="1">
      <formula>AND($N39&gt;0,$N39=$O39)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49:L4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8" bestFit="1" customWidth="1"/>
    <col min="14" max="14" width="9.7109375" style="198" bestFit="1" customWidth="1"/>
    <col min="15" max="15" width="13.28515625" style="199" bestFit="1" customWidth="1"/>
    <col min="16" max="16" width="12.5703125" style="210" customWidth="1"/>
    <col min="17" max="17" width="12.28515625" style="293" bestFit="1" customWidth="1"/>
    <col min="18" max="18" width="12" style="293" customWidth="1"/>
    <col min="19" max="16384" width="6.85546875" style="3"/>
  </cols>
  <sheetData>
    <row r="1" spans="1:16" ht="19.5">
      <c r="A1" s="728" t="str">
        <f>封面!$A$4</f>
        <v>彰化縣地方教育發展基金－彰化縣彰化市民生國民小學</v>
      </c>
      <c r="B1" s="728"/>
      <c r="C1" s="728"/>
      <c r="D1" s="728"/>
      <c r="E1" s="728"/>
      <c r="F1" s="728"/>
      <c r="G1" s="728"/>
      <c r="H1" s="728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44" t="s">
        <v>38</v>
      </c>
      <c r="B4" s="744"/>
      <c r="C4" s="744"/>
      <c r="D4" s="744"/>
      <c r="E4" s="744"/>
      <c r="F4" s="744"/>
      <c r="G4" s="744"/>
      <c r="H4" s="744"/>
    </row>
    <row r="5" spans="1:16" ht="6.75" customHeight="1"/>
    <row r="6" spans="1:16" ht="16.5">
      <c r="A6" s="729" t="str">
        <f>封面!$E$10&amp;封面!$H$10&amp;封面!$I$10&amp;封面!$J$10&amp;封面!$K$10&amp;封面!L10</f>
        <v>中華民國114年5月份</v>
      </c>
      <c r="B6" s="729"/>
      <c r="C6" s="729"/>
      <c r="D6" s="729"/>
      <c r="E6" s="729"/>
      <c r="F6" s="729"/>
      <c r="G6" s="729"/>
      <c r="H6" s="729"/>
    </row>
    <row r="7" spans="1:16" ht="14.25" customHeight="1">
      <c r="A7" s="695" t="s">
        <v>39</v>
      </c>
      <c r="B7" s="695"/>
      <c r="C7" s="695"/>
      <c r="D7" s="695"/>
      <c r="E7" s="695"/>
      <c r="F7" s="695"/>
      <c r="G7" s="695"/>
      <c r="H7" s="695"/>
      <c r="K7" s="126">
        <f t="shared" ref="K7:P7" si="0">K15-K34</f>
        <v>-761342</v>
      </c>
      <c r="L7" s="126">
        <f t="shared" si="0"/>
        <v>-1015711</v>
      </c>
      <c r="M7" s="126">
        <f t="shared" si="0"/>
        <v>159415</v>
      </c>
      <c r="N7" s="126">
        <f t="shared" si="0"/>
        <v>0</v>
      </c>
      <c r="O7" s="126">
        <f t="shared" si="0"/>
        <v>35854059</v>
      </c>
      <c r="P7" s="126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60" t="s">
        <v>40</v>
      </c>
      <c r="I9" s="125"/>
    </row>
    <row r="10" spans="1:16" ht="14.25" customHeight="1">
      <c r="A10" s="858" t="s">
        <v>41</v>
      </c>
      <c r="B10" s="854"/>
      <c r="C10" s="852" t="s">
        <v>51</v>
      </c>
      <c r="D10" s="854" t="s">
        <v>52</v>
      </c>
      <c r="E10" s="852" t="s">
        <v>53</v>
      </c>
      <c r="F10" s="852" t="s">
        <v>54</v>
      </c>
      <c r="G10" s="858" t="s">
        <v>42</v>
      </c>
      <c r="H10" s="861"/>
      <c r="I10" s="125"/>
      <c r="K10" s="173" t="s">
        <v>188</v>
      </c>
      <c r="L10" s="173" t="s">
        <v>189</v>
      </c>
      <c r="M10" s="850" t="s">
        <v>202</v>
      </c>
      <c r="N10" s="856" t="s">
        <v>214</v>
      </c>
      <c r="O10" s="851" t="s">
        <v>212</v>
      </c>
    </row>
    <row r="11" spans="1:16" ht="14.25">
      <c r="A11" s="859"/>
      <c r="B11" s="855"/>
      <c r="C11" s="853"/>
      <c r="D11" s="855"/>
      <c r="E11" s="853"/>
      <c r="F11" s="853"/>
      <c r="G11" s="859"/>
      <c r="H11" s="862"/>
      <c r="I11" s="125"/>
      <c r="M11" s="634"/>
      <c r="N11" s="857"/>
      <c r="O11" s="634"/>
      <c r="P11" s="211" t="s">
        <v>213</v>
      </c>
    </row>
    <row r="12" spans="1:16" ht="12.75" hidden="1" customHeight="1">
      <c r="H12" s="100"/>
      <c r="I12" s="125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1"/>
      <c r="D15" s="191"/>
      <c r="E15" s="191"/>
      <c r="F15" s="191"/>
      <c r="G15" s="232"/>
      <c r="H15" s="191"/>
      <c r="I15" s="13"/>
      <c r="J15" s="126">
        <f>D15-E15-H15</f>
        <v>0</v>
      </c>
      <c r="K15" s="213">
        <f>D15-[3]固定項目!D15</f>
        <v>-761342</v>
      </c>
      <c r="L15" s="213">
        <f>E15-[3]固定項目!E15</f>
        <v>-1015711</v>
      </c>
      <c r="M15" s="213">
        <f>SUM(M18:M36)</f>
        <v>159415</v>
      </c>
      <c r="N15" s="213">
        <f>SUM(N18:N36)</f>
        <v>0</v>
      </c>
      <c r="O15" s="213">
        <f>SUM(O18:O36)</f>
        <v>35854059</v>
      </c>
      <c r="P15" s="216">
        <f>SUM(P18:P36)</f>
        <v>-35854059</v>
      </c>
    </row>
    <row r="16" spans="1:16" ht="21" hidden="1" customHeight="1">
      <c r="A16" s="17"/>
      <c r="B16" s="17"/>
      <c r="C16" s="192"/>
      <c r="D16" s="192"/>
      <c r="E16" s="192"/>
      <c r="F16" s="192"/>
      <c r="G16" s="232"/>
      <c r="H16" s="192"/>
      <c r="I16" s="13"/>
      <c r="J16" s="126">
        <f t="shared" ref="J16:J36" si="1">D16-E16-H16</f>
        <v>0</v>
      </c>
      <c r="K16" s="214">
        <f>D16-[3]固定項目!D16</f>
        <v>0</v>
      </c>
      <c r="L16" s="214">
        <f>E16-[3]固定項目!E16</f>
        <v>0</v>
      </c>
      <c r="P16" s="216"/>
    </row>
    <row r="17" spans="1:18" ht="21" hidden="1" customHeight="1">
      <c r="A17" s="17"/>
      <c r="B17" s="17"/>
      <c r="C17" s="192"/>
      <c r="D17" s="192"/>
      <c r="E17" s="192"/>
      <c r="F17" s="192"/>
      <c r="G17" s="232"/>
      <c r="H17" s="192"/>
      <c r="I17" s="13"/>
      <c r="J17" s="126">
        <f t="shared" si="1"/>
        <v>0</v>
      </c>
      <c r="K17" s="214">
        <f>D17-[3]固定項目!D17</f>
        <v>0</v>
      </c>
      <c r="L17" s="214">
        <f>E17-[3]固定項目!E17</f>
        <v>0</v>
      </c>
      <c r="P17" s="216"/>
    </row>
    <row r="18" spans="1:18" ht="26.25" customHeight="1">
      <c r="A18" s="18"/>
      <c r="B18" s="80" t="s">
        <v>168</v>
      </c>
      <c r="C18" s="192"/>
      <c r="D18" s="192"/>
      <c r="E18" s="192"/>
      <c r="F18" s="192"/>
      <c r="G18" s="232"/>
      <c r="H18" s="192"/>
      <c r="I18" s="13"/>
      <c r="J18" s="126">
        <f t="shared" si="1"/>
        <v>0</v>
      </c>
      <c r="K18" s="214">
        <f>D18-[4]固定項目!D18</f>
        <v>0</v>
      </c>
      <c r="L18" s="214">
        <f>E18-[4]固定項目!E18</f>
        <v>0</v>
      </c>
      <c r="O18" s="215">
        <f>M18-N18+[4]固定項目!O18</f>
        <v>0</v>
      </c>
      <c r="P18" s="216"/>
    </row>
    <row r="19" spans="1:18" ht="21" hidden="1" customHeight="1">
      <c r="A19" s="17"/>
      <c r="B19" s="17"/>
      <c r="C19" s="192"/>
      <c r="D19" s="192"/>
      <c r="E19" s="192"/>
      <c r="F19" s="192"/>
      <c r="G19" s="232"/>
      <c r="H19" s="192"/>
      <c r="I19" s="13"/>
      <c r="J19" s="126">
        <f t="shared" si="1"/>
        <v>0</v>
      </c>
      <c r="K19" s="214">
        <f>D19-[4]固定項目!D20</f>
        <v>0</v>
      </c>
      <c r="L19" s="214">
        <f>E19-[4]固定項目!E20</f>
        <v>0</v>
      </c>
      <c r="O19" s="215">
        <f>M19-N19+[4]固定項目!O20</f>
        <v>0</v>
      </c>
      <c r="P19" s="216"/>
    </row>
    <row r="20" spans="1:18" ht="21" customHeight="1">
      <c r="A20" s="19"/>
      <c r="B20" s="81" t="s">
        <v>44</v>
      </c>
      <c r="C20" s="191"/>
      <c r="D20" s="191"/>
      <c r="E20" s="191"/>
      <c r="F20" s="191"/>
      <c r="G20" s="232"/>
      <c r="H20" s="191"/>
      <c r="I20" s="13"/>
      <c r="J20" s="126">
        <f t="shared" si="1"/>
        <v>0</v>
      </c>
      <c r="K20" s="214">
        <f>D20-[4]固定項目!D21</f>
        <v>0</v>
      </c>
      <c r="L20" s="214">
        <f>E20-[4]固定項目!E21</f>
        <v>0</v>
      </c>
      <c r="O20" s="215">
        <f>M20-N20+[4]固定項目!O21</f>
        <v>0</v>
      </c>
      <c r="P20" s="216">
        <f>C20+D20-E20-O20</f>
        <v>0</v>
      </c>
      <c r="Q20" s="293">
        <v>9760300</v>
      </c>
      <c r="R20" s="294">
        <f>P20-Q20</f>
        <v>-9760300</v>
      </c>
    </row>
    <row r="21" spans="1:18" ht="21" hidden="1" customHeight="1">
      <c r="A21" s="17"/>
      <c r="B21" s="17"/>
      <c r="C21" s="192"/>
      <c r="D21" s="192"/>
      <c r="E21" s="192"/>
      <c r="F21" s="192"/>
      <c r="G21" s="232"/>
      <c r="H21" s="192"/>
      <c r="I21" s="13"/>
      <c r="J21" s="126">
        <f t="shared" si="1"/>
        <v>0</v>
      </c>
      <c r="K21" s="214">
        <f>D21-[4]固定項目!D23</f>
        <v>0</v>
      </c>
      <c r="L21" s="214">
        <f>E21-[4]固定項目!E23</f>
        <v>0</v>
      </c>
      <c r="O21" s="215">
        <f>M21-N21+[4]固定項目!O23</f>
        <v>0</v>
      </c>
      <c r="P21" s="216">
        <f t="shared" ref="P21:P42" si="2">C21+D21-E21-O21</f>
        <v>0</v>
      </c>
      <c r="R21" s="294">
        <f t="shared" ref="R21:R30" si="3">P21-Q21</f>
        <v>0</v>
      </c>
    </row>
    <row r="22" spans="1:18" ht="21" customHeight="1">
      <c r="A22" s="19"/>
      <c r="B22" s="81" t="s">
        <v>45</v>
      </c>
      <c r="C22" s="191"/>
      <c r="D22" s="192"/>
      <c r="E22" s="192"/>
      <c r="F22" s="191"/>
      <c r="G22" s="232"/>
      <c r="H22" s="192"/>
      <c r="I22" s="13"/>
      <c r="J22" s="126">
        <f t="shared" si="1"/>
        <v>0</v>
      </c>
      <c r="K22" s="214">
        <f>D22-[4]固定項目!D24</f>
        <v>-65606</v>
      </c>
      <c r="L22" s="214">
        <f>E22-[4]固定項目!E24</f>
        <v>0</v>
      </c>
      <c r="M22" s="198">
        <v>32803</v>
      </c>
      <c r="O22" s="215">
        <f>M22-N22+[4]固定項目!O24</f>
        <v>2027157</v>
      </c>
      <c r="P22" s="216">
        <f t="shared" si="2"/>
        <v>-2027157</v>
      </c>
      <c r="Q22" s="293">
        <v>3532484</v>
      </c>
      <c r="R22" s="294">
        <f t="shared" si="3"/>
        <v>-5559641</v>
      </c>
    </row>
    <row r="23" spans="1:18" ht="21" hidden="1" customHeight="1">
      <c r="A23" s="17"/>
      <c r="B23" s="17"/>
      <c r="C23" s="192"/>
      <c r="D23" s="192"/>
      <c r="E23" s="192"/>
      <c r="F23" s="192"/>
      <c r="G23" s="232"/>
      <c r="H23" s="192"/>
      <c r="I23" s="13"/>
      <c r="J23" s="126">
        <f t="shared" si="1"/>
        <v>0</v>
      </c>
      <c r="K23" s="214">
        <f>D23-[4]固定項目!D26</f>
        <v>0</v>
      </c>
      <c r="L23" s="214">
        <f>E23-[4]固定項目!E26</f>
        <v>0</v>
      </c>
      <c r="O23" s="215">
        <f>M23-N23+[4]固定項目!O26</f>
        <v>0</v>
      </c>
      <c r="P23" s="216">
        <f t="shared" si="2"/>
        <v>0</v>
      </c>
      <c r="R23" s="294">
        <f t="shared" si="3"/>
        <v>0</v>
      </c>
    </row>
    <row r="24" spans="1:18" ht="21" customHeight="1">
      <c r="A24" s="19"/>
      <c r="B24" s="81" t="s">
        <v>46</v>
      </c>
      <c r="C24" s="191"/>
      <c r="D24" s="192"/>
      <c r="E24" s="191"/>
      <c r="F24" s="191"/>
      <c r="G24" s="232"/>
      <c r="H24" s="191"/>
      <c r="I24" s="13"/>
      <c r="J24" s="126">
        <f t="shared" si="1"/>
        <v>0</v>
      </c>
      <c r="K24" s="214">
        <f>D24-[4]固定項目!D27</f>
        <v>0</v>
      </c>
      <c r="L24" s="214">
        <f>E24-[4]固定項目!E27</f>
        <v>-462500</v>
      </c>
      <c r="M24" s="198">
        <v>83429</v>
      </c>
      <c r="O24" s="215">
        <f>M24-N24+[4]固定項目!O27</f>
        <v>24356499</v>
      </c>
      <c r="P24" s="216">
        <f t="shared" si="2"/>
        <v>-24356499</v>
      </c>
      <c r="Q24" s="293">
        <v>20166512</v>
      </c>
      <c r="R24" s="294">
        <f t="shared" si="3"/>
        <v>-44523011</v>
      </c>
    </row>
    <row r="25" spans="1:18" ht="21" hidden="1" customHeight="1">
      <c r="A25" s="17"/>
      <c r="B25" s="17"/>
      <c r="C25" s="192"/>
      <c r="D25" s="192"/>
      <c r="E25" s="192"/>
      <c r="F25" s="192"/>
      <c r="G25" s="232"/>
      <c r="H25" s="192"/>
      <c r="I25" s="13"/>
      <c r="J25" s="126">
        <f t="shared" si="1"/>
        <v>0</v>
      </c>
      <c r="K25" s="214">
        <f>D25-[4]固定項目!D29</f>
        <v>0</v>
      </c>
      <c r="L25" s="214">
        <f>E25-[4]固定項目!E29</f>
        <v>0</v>
      </c>
      <c r="O25" s="215">
        <f>M25-N25+[4]固定項目!O29</f>
        <v>0</v>
      </c>
      <c r="P25" s="216">
        <f t="shared" si="2"/>
        <v>0</v>
      </c>
      <c r="R25" s="294">
        <f t="shared" si="3"/>
        <v>0</v>
      </c>
    </row>
    <row r="26" spans="1:18" ht="21" customHeight="1">
      <c r="A26" s="19"/>
      <c r="B26" s="81" t="s">
        <v>47</v>
      </c>
      <c r="C26" s="191"/>
      <c r="D26" s="191"/>
      <c r="E26" s="191"/>
      <c r="F26" s="191"/>
      <c r="G26" s="232"/>
      <c r="H26" s="191"/>
      <c r="I26" s="13"/>
      <c r="J26" s="126">
        <f t="shared" si="1"/>
        <v>0</v>
      </c>
      <c r="K26" s="214">
        <f>D26-[4]固定項目!D30</f>
        <v>-112736</v>
      </c>
      <c r="L26" s="214">
        <f>E26-[4]固定項目!E30</f>
        <v>-343611</v>
      </c>
      <c r="M26" s="198">
        <v>24242</v>
      </c>
      <c r="O26" s="215">
        <f>M26-N26+[4]固定項目!O30</f>
        <v>4960805</v>
      </c>
      <c r="P26" s="216">
        <f t="shared" si="2"/>
        <v>-4960805</v>
      </c>
      <c r="Q26" s="293">
        <v>1123223</v>
      </c>
      <c r="R26" s="294">
        <f t="shared" si="3"/>
        <v>-6084028</v>
      </c>
    </row>
    <row r="27" spans="1:18" ht="21" hidden="1" customHeight="1">
      <c r="A27" s="17"/>
      <c r="B27" s="17"/>
      <c r="C27" s="192"/>
      <c r="D27" s="192"/>
      <c r="E27" s="192"/>
      <c r="F27" s="192"/>
      <c r="G27" s="232"/>
      <c r="H27" s="192"/>
      <c r="I27" s="13"/>
      <c r="J27" s="126">
        <f t="shared" si="1"/>
        <v>0</v>
      </c>
      <c r="K27" s="214">
        <f>D27-[4]固定項目!D32</f>
        <v>0</v>
      </c>
      <c r="L27" s="214">
        <f>E27-[4]固定項目!E32</f>
        <v>0</v>
      </c>
      <c r="O27" s="215">
        <f>M27-N27+[4]固定項目!O32</f>
        <v>0</v>
      </c>
      <c r="P27" s="216">
        <f t="shared" si="2"/>
        <v>0</v>
      </c>
      <c r="R27" s="294">
        <f t="shared" si="3"/>
        <v>0</v>
      </c>
    </row>
    <row r="28" spans="1:18" ht="21" customHeight="1">
      <c r="A28" s="19"/>
      <c r="B28" s="81" t="s">
        <v>48</v>
      </c>
      <c r="C28" s="191"/>
      <c r="D28" s="192"/>
      <c r="E28" s="191"/>
      <c r="F28" s="191"/>
      <c r="G28" s="232"/>
      <c r="H28" s="191"/>
      <c r="I28" s="13"/>
      <c r="J28" s="126">
        <f t="shared" si="1"/>
        <v>0</v>
      </c>
      <c r="K28" s="214">
        <f>D28-[4]固定項目!D33</f>
        <v>0</v>
      </c>
      <c r="L28" s="214">
        <f>E28-[4]固定項目!E33</f>
        <v>-98000</v>
      </c>
      <c r="M28" s="198">
        <v>5018</v>
      </c>
      <c r="O28" s="215">
        <f>M28-N28+[4]固定項目!O33</f>
        <v>707188</v>
      </c>
      <c r="P28" s="216">
        <f t="shared" si="2"/>
        <v>-707188</v>
      </c>
      <c r="Q28" s="293">
        <v>148230</v>
      </c>
      <c r="R28" s="294">
        <f t="shared" si="3"/>
        <v>-855418</v>
      </c>
    </row>
    <row r="29" spans="1:18" ht="21" hidden="1" customHeight="1">
      <c r="A29" s="17"/>
      <c r="B29" s="17"/>
      <c r="C29" s="192"/>
      <c r="D29" s="192"/>
      <c r="E29" s="192"/>
      <c r="F29" s="192"/>
      <c r="G29" s="232"/>
      <c r="H29" s="192"/>
      <c r="I29" s="13"/>
      <c r="J29" s="126">
        <f t="shared" si="1"/>
        <v>0</v>
      </c>
      <c r="K29" s="214">
        <f>D29-[4]固定項目!D35</f>
        <v>0</v>
      </c>
      <c r="L29" s="214">
        <f>E29-[4]固定項目!E35</f>
        <v>0</v>
      </c>
      <c r="O29" s="215">
        <f>M29-N29+[4]固定項目!O35</f>
        <v>0</v>
      </c>
      <c r="P29" s="216">
        <f t="shared" si="2"/>
        <v>0</v>
      </c>
      <c r="R29" s="294">
        <f t="shared" si="3"/>
        <v>0</v>
      </c>
    </row>
    <row r="30" spans="1:18" ht="21" customHeight="1">
      <c r="A30" s="19"/>
      <c r="B30" s="81" t="s">
        <v>196</v>
      </c>
      <c r="C30" s="191"/>
      <c r="D30" s="191"/>
      <c r="E30" s="191"/>
      <c r="F30" s="191"/>
      <c r="G30" s="232"/>
      <c r="H30" s="191"/>
      <c r="I30" s="13"/>
      <c r="J30" s="126">
        <f t="shared" si="1"/>
        <v>0</v>
      </c>
      <c r="K30" s="214">
        <f>D30-[4]固定項目!D36</f>
        <v>-596000</v>
      </c>
      <c r="L30" s="214">
        <f>E30-[4]固定項目!E36</f>
        <v>-111600</v>
      </c>
      <c r="M30" s="198">
        <v>13923</v>
      </c>
      <c r="O30" s="215">
        <f>M30-N30+[4]固定項目!O36</f>
        <v>3802410</v>
      </c>
      <c r="P30" s="216">
        <f t="shared" si="2"/>
        <v>-3802410</v>
      </c>
      <c r="Q30" s="293">
        <v>667523</v>
      </c>
      <c r="R30" s="294">
        <f t="shared" si="3"/>
        <v>-4469933</v>
      </c>
    </row>
    <row r="31" spans="1:18" ht="21" hidden="1" customHeight="1">
      <c r="A31" s="17"/>
      <c r="B31" s="17"/>
      <c r="C31" s="192"/>
      <c r="D31" s="192"/>
      <c r="E31" s="192"/>
      <c r="F31" s="192"/>
      <c r="G31" s="232"/>
      <c r="H31" s="192"/>
      <c r="I31" s="13"/>
      <c r="J31" s="126">
        <f t="shared" si="1"/>
        <v>0</v>
      </c>
      <c r="K31" s="214">
        <f>D31-[4]固定項目!D38</f>
        <v>0</v>
      </c>
      <c r="L31" s="214">
        <f>E31-[4]固定項目!E38</f>
        <v>0</v>
      </c>
      <c r="O31" s="215">
        <f>M31-N31+[4]固定項目!O38</f>
        <v>0</v>
      </c>
      <c r="P31" s="210">
        <f t="shared" si="2"/>
        <v>0</v>
      </c>
    </row>
    <row r="32" spans="1:18" ht="21" customHeight="1">
      <c r="A32" s="19"/>
      <c r="B32" s="81" t="s">
        <v>49</v>
      </c>
      <c r="C32" s="192"/>
      <c r="D32" s="192"/>
      <c r="E32" s="192"/>
      <c r="F32" s="192"/>
      <c r="G32" s="232"/>
      <c r="H32" s="192"/>
      <c r="I32" s="13"/>
      <c r="J32" s="126">
        <f t="shared" si="1"/>
        <v>0</v>
      </c>
      <c r="K32" s="214">
        <f>D32-[4]固定項目!D39</f>
        <v>0</v>
      </c>
      <c r="L32" s="214">
        <f>E32-[4]固定項目!E39</f>
        <v>0</v>
      </c>
      <c r="O32" s="215">
        <f>M32-N32+[4]固定項目!O39</f>
        <v>0</v>
      </c>
      <c r="P32" s="210">
        <f t="shared" si="2"/>
        <v>0</v>
      </c>
    </row>
    <row r="33" spans="1:16" ht="21" hidden="1" customHeight="1">
      <c r="A33" s="17"/>
      <c r="B33" s="17"/>
      <c r="C33" s="192"/>
      <c r="D33" s="192"/>
      <c r="E33" s="192"/>
      <c r="F33" s="192"/>
      <c r="G33" s="232"/>
      <c r="H33" s="192"/>
      <c r="I33" s="13"/>
      <c r="J33" s="126">
        <f t="shared" si="1"/>
        <v>0</v>
      </c>
      <c r="K33" s="214">
        <f>D33-[4]固定項目!D41</f>
        <v>0</v>
      </c>
      <c r="L33" s="214">
        <f>E33-[4]固定項目!E41</f>
        <v>0</v>
      </c>
      <c r="O33" s="215">
        <f>M33-N33+[4]固定項目!O41</f>
        <v>0</v>
      </c>
      <c r="P33" s="210">
        <f t="shared" si="2"/>
        <v>0</v>
      </c>
    </row>
    <row r="34" spans="1:16" ht="21" customHeight="1">
      <c r="A34" s="19"/>
      <c r="B34" s="81" t="s">
        <v>197</v>
      </c>
      <c r="C34" s="191"/>
      <c r="D34" s="192"/>
      <c r="E34" s="192"/>
      <c r="F34" s="191"/>
      <c r="G34" s="232"/>
      <c r="H34" s="192"/>
      <c r="I34" s="13"/>
      <c r="J34" s="126">
        <f t="shared" si="1"/>
        <v>0</v>
      </c>
      <c r="K34" s="214">
        <f>D34-[4]固定項目!D42</f>
        <v>0</v>
      </c>
      <c r="L34" s="214">
        <f>E34-[4]固定項目!E42</f>
        <v>0</v>
      </c>
      <c r="M34" s="212"/>
      <c r="N34" s="212">
        <f>E34</f>
        <v>0</v>
      </c>
      <c r="O34" s="215">
        <f>M34-N34+[4]固定項目!O42</f>
        <v>0</v>
      </c>
      <c r="P34" s="210">
        <f t="shared" si="2"/>
        <v>0</v>
      </c>
    </row>
    <row r="35" spans="1:16" ht="21" hidden="1" customHeight="1">
      <c r="A35" s="17"/>
      <c r="B35" s="17"/>
      <c r="C35" s="192"/>
      <c r="D35" s="192"/>
      <c r="E35" s="192"/>
      <c r="F35" s="192"/>
      <c r="G35" s="232"/>
      <c r="H35" s="192"/>
      <c r="I35" s="13"/>
      <c r="J35" s="126">
        <f t="shared" si="1"/>
        <v>0</v>
      </c>
      <c r="K35" s="214">
        <f>D35-[4]固定項目!D44</f>
        <v>0</v>
      </c>
      <c r="L35" s="214">
        <f>E35-[4]固定項目!E44</f>
        <v>0</v>
      </c>
      <c r="O35" s="215">
        <f>M35-N35+[4]固定項目!O44</f>
        <v>0</v>
      </c>
      <c r="P35" s="210">
        <f t="shared" si="2"/>
        <v>0</v>
      </c>
    </row>
    <row r="36" spans="1:16" ht="21" customHeight="1">
      <c r="A36" s="19"/>
      <c r="B36" s="81" t="s">
        <v>50</v>
      </c>
      <c r="C36" s="192"/>
      <c r="D36" s="192"/>
      <c r="E36" s="192"/>
      <c r="F36" s="192"/>
      <c r="G36" s="233"/>
      <c r="H36" s="192"/>
      <c r="I36" s="13"/>
      <c r="J36" s="126">
        <f t="shared" si="1"/>
        <v>0</v>
      </c>
      <c r="K36" s="214">
        <f>D36-[4]固定項目!D45</f>
        <v>0</v>
      </c>
      <c r="L36" s="214">
        <f>E36-[4]固定項目!E45</f>
        <v>0</v>
      </c>
      <c r="O36" s="215">
        <f>M36-N36+[4]固定項目!O45</f>
        <v>0</v>
      </c>
      <c r="P36" s="210">
        <f t="shared" si="2"/>
        <v>0</v>
      </c>
    </row>
    <row r="37" spans="1:16" ht="21" hidden="1" customHeight="1">
      <c r="A37" s="194"/>
      <c r="B37" s="195"/>
      <c r="C37" s="13"/>
      <c r="D37" s="13"/>
      <c r="E37" s="13"/>
      <c r="F37" s="13"/>
      <c r="G37" s="234"/>
      <c r="H37" s="13"/>
      <c r="O37" s="215">
        <f>M37-N37+[4]固定項目!O47</f>
        <v>0</v>
      </c>
      <c r="P37" s="210">
        <f t="shared" si="2"/>
        <v>0</v>
      </c>
    </row>
    <row r="38" spans="1:16" ht="21" customHeight="1">
      <c r="A38" s="194"/>
      <c r="B38" s="196" t="s">
        <v>198</v>
      </c>
      <c r="C38" s="13"/>
      <c r="D38" s="13"/>
      <c r="E38" s="13"/>
      <c r="F38" s="13"/>
      <c r="G38" s="234"/>
      <c r="H38" s="13"/>
      <c r="O38" s="215">
        <f>M38-N38+[4]固定項目!O48</f>
        <v>0</v>
      </c>
      <c r="P38" s="210">
        <f t="shared" si="2"/>
        <v>0</v>
      </c>
    </row>
    <row r="39" spans="1:16" ht="21" hidden="1" customHeight="1">
      <c r="A39" s="194"/>
      <c r="B39" s="195"/>
      <c r="C39" s="13"/>
      <c r="D39" s="13"/>
      <c r="E39" s="13"/>
      <c r="F39" s="13"/>
      <c r="G39" s="234"/>
      <c r="H39" s="13"/>
      <c r="O39" s="215">
        <f>M39-N39+[4]固定項目!O50</f>
        <v>0</v>
      </c>
      <c r="P39" s="210">
        <f t="shared" si="2"/>
        <v>0</v>
      </c>
    </row>
    <row r="40" spans="1:16" ht="21" customHeight="1">
      <c r="A40" s="194"/>
      <c r="B40" s="196" t="s">
        <v>199</v>
      </c>
      <c r="C40" s="13"/>
      <c r="D40" s="13"/>
      <c r="E40" s="13"/>
      <c r="F40" s="13"/>
      <c r="G40" s="234"/>
      <c r="H40" s="13"/>
      <c r="O40" s="215">
        <f>M40-N40+[4]固定項目!O51</f>
        <v>0</v>
      </c>
      <c r="P40" s="210">
        <f t="shared" si="2"/>
        <v>0</v>
      </c>
    </row>
    <row r="41" spans="1:16" ht="21" hidden="1" customHeight="1">
      <c r="A41" s="194"/>
      <c r="B41" s="195"/>
      <c r="C41" s="13"/>
      <c r="D41" s="13"/>
      <c r="E41" s="13"/>
      <c r="F41" s="13"/>
      <c r="G41" s="234"/>
      <c r="H41" s="13"/>
      <c r="O41" s="215">
        <f>M41-N41+[4]固定項目!O53</f>
        <v>0</v>
      </c>
      <c r="P41" s="210">
        <f t="shared" si="2"/>
        <v>0</v>
      </c>
    </row>
    <row r="42" spans="1:16" ht="21" customHeight="1">
      <c r="A42" s="194"/>
      <c r="B42" s="197" t="s">
        <v>200</v>
      </c>
      <c r="C42" s="13"/>
      <c r="D42" s="13"/>
      <c r="E42" s="13"/>
      <c r="F42" s="13"/>
      <c r="G42" s="234"/>
      <c r="H42" s="13"/>
      <c r="O42" s="215">
        <f>M42-N42+[4]固定項目!O54</f>
        <v>0</v>
      </c>
      <c r="P42" s="210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66" t="s">
        <v>82</v>
      </c>
      <c r="B1" s="867"/>
      <c r="C1" s="867"/>
      <c r="D1" s="867"/>
      <c r="E1" s="867"/>
      <c r="F1" s="867"/>
      <c r="G1" s="867"/>
      <c r="H1" s="867"/>
      <c r="I1" s="867"/>
      <c r="J1" s="867"/>
      <c r="K1" s="867"/>
      <c r="L1" s="867"/>
      <c r="M1" s="867"/>
      <c r="N1" s="867"/>
      <c r="O1" s="867"/>
      <c r="P1" s="867"/>
      <c r="Q1" s="867"/>
      <c r="R1" s="868"/>
    </row>
    <row r="2" spans="1:19">
      <c r="A2" s="869" t="str">
        <f>"茲列出 貴機關"&amp;封面!H10&amp;封面!J10&amp;"01至"&amp;封面!H10&amp;封面!J10&amp;封面!O10&amp;"歲出分配餘額暨支付明細，送請詳加核對"</f>
        <v>茲列出 貴機關114501至114531歲出分配餘額暨支付明細，送請詳加核對</v>
      </c>
      <c r="B2" s="870"/>
      <c r="C2" s="870"/>
      <c r="D2" s="870"/>
      <c r="E2" s="870"/>
      <c r="F2" s="870"/>
      <c r="G2" s="870"/>
      <c r="H2" s="870"/>
      <c r="I2" s="870"/>
      <c r="J2" s="870"/>
      <c r="K2" s="870"/>
      <c r="L2" s="870"/>
      <c r="M2" s="870"/>
      <c r="N2" s="870"/>
      <c r="O2" s="870"/>
      <c r="P2" s="870"/>
      <c r="Q2" s="870"/>
      <c r="R2" s="871"/>
    </row>
    <row r="3" spans="1:19">
      <c r="A3" s="872" t="s">
        <v>83</v>
      </c>
      <c r="B3" s="873"/>
      <c r="C3" s="873"/>
      <c r="D3" s="873"/>
      <c r="E3" s="873"/>
      <c r="F3" s="873"/>
      <c r="G3" s="873"/>
      <c r="H3" s="873"/>
      <c r="I3" s="873"/>
      <c r="J3" s="873"/>
      <c r="K3" s="873"/>
      <c r="L3" s="873"/>
      <c r="M3" s="873"/>
      <c r="N3" s="873"/>
      <c r="O3" s="873"/>
      <c r="P3" s="873"/>
      <c r="Q3" s="873"/>
      <c r="R3" s="874"/>
    </row>
    <row r="5" spans="1:19">
      <c r="A5" s="30"/>
      <c r="B5" s="31"/>
      <c r="C5" s="875" t="s">
        <v>84</v>
      </c>
      <c r="D5" s="875"/>
      <c r="E5" s="875"/>
      <c r="F5" s="875"/>
      <c r="G5" s="875"/>
      <c r="H5" s="875" t="s">
        <v>85</v>
      </c>
      <c r="I5" s="875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63"/>
      <c r="D6" s="864"/>
      <c r="E6" s="864"/>
      <c r="F6" s="865" t="s">
        <v>87</v>
      </c>
      <c r="G6" s="865"/>
      <c r="H6" s="865"/>
      <c r="I6" s="865"/>
      <c r="J6" s="865"/>
      <c r="K6" s="865"/>
      <c r="R6" s="35"/>
    </row>
    <row r="7" spans="1:19">
      <c r="A7" s="34"/>
      <c r="B7" s="865" t="s">
        <v>88</v>
      </c>
      <c r="C7" s="865"/>
      <c r="D7" s="865"/>
      <c r="E7" s="865"/>
      <c r="F7" s="865"/>
      <c r="G7" s="865"/>
      <c r="H7" s="865"/>
      <c r="I7" s="865"/>
      <c r="R7" s="35"/>
    </row>
    <row r="8" spans="1:19">
      <c r="A8" s="34"/>
      <c r="B8" s="865" t="s">
        <v>89</v>
      </c>
      <c r="C8" s="865"/>
      <c r="D8" s="865"/>
      <c r="E8" s="865"/>
      <c r="F8" s="865"/>
      <c r="G8" s="865"/>
      <c r="H8" s="865"/>
      <c r="I8" s="865"/>
      <c r="R8" s="35"/>
    </row>
    <row r="9" spans="1:19">
      <c r="A9" s="36" t="s">
        <v>90</v>
      </c>
      <c r="B9" s="883" t="s">
        <v>91</v>
      </c>
      <c r="C9" s="883"/>
      <c r="D9" s="883"/>
      <c r="E9" s="883"/>
      <c r="F9" s="883"/>
      <c r="G9" s="883"/>
      <c r="H9" s="883"/>
      <c r="I9" s="883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84" t="s">
        <v>92</v>
      </c>
      <c r="B10" s="875"/>
      <c r="C10" s="875"/>
      <c r="D10" s="885"/>
      <c r="E10" s="884" t="s">
        <v>93</v>
      </c>
      <c r="F10" s="885"/>
      <c r="G10" s="884" t="s">
        <v>94</v>
      </c>
      <c r="H10" s="885"/>
      <c r="I10" s="884" t="s">
        <v>95</v>
      </c>
      <c r="J10" s="885"/>
      <c r="K10" s="884" t="s">
        <v>71</v>
      </c>
      <c r="L10" s="885"/>
      <c r="M10" s="884" t="s">
        <v>96</v>
      </c>
      <c r="N10" s="875"/>
      <c r="O10" s="875"/>
      <c r="P10" s="875"/>
      <c r="Q10" s="875"/>
      <c r="R10" s="885"/>
    </row>
    <row r="11" spans="1:19" ht="52.5" customHeight="1">
      <c r="A11" s="876" t="s">
        <v>97</v>
      </c>
      <c r="B11" s="877"/>
      <c r="C11" s="877"/>
      <c r="D11" s="878"/>
      <c r="E11" s="879" t="s">
        <v>98</v>
      </c>
      <c r="F11" s="880"/>
      <c r="G11" s="881">
        <v>1053704</v>
      </c>
      <c r="H11" s="882"/>
      <c r="I11" s="881">
        <v>365251010501182</v>
      </c>
      <c r="J11" s="882"/>
      <c r="K11" s="886">
        <v>26000</v>
      </c>
      <c r="L11" s="887"/>
      <c r="M11" s="876" t="s">
        <v>99</v>
      </c>
      <c r="N11" s="877"/>
      <c r="O11" s="877"/>
      <c r="P11" s="877"/>
      <c r="Q11" s="877"/>
      <c r="R11" s="878"/>
      <c r="S11" s="39" t="s">
        <v>100</v>
      </c>
    </row>
    <row r="12" spans="1:19" ht="54" customHeight="1">
      <c r="A12" s="876" t="s">
        <v>101</v>
      </c>
      <c r="B12" s="877"/>
      <c r="C12" s="877"/>
      <c r="D12" s="878"/>
      <c r="E12" s="879" t="s">
        <v>102</v>
      </c>
      <c r="F12" s="880"/>
      <c r="G12" s="881">
        <v>1050843</v>
      </c>
      <c r="H12" s="882"/>
      <c r="I12" s="881">
        <v>365251010500989</v>
      </c>
      <c r="J12" s="882"/>
      <c r="K12" s="886">
        <v>129310</v>
      </c>
      <c r="L12" s="887"/>
      <c r="M12" s="876" t="s">
        <v>103</v>
      </c>
      <c r="N12" s="877"/>
      <c r="O12" s="877"/>
      <c r="P12" s="877"/>
      <c r="Q12" s="877"/>
      <c r="R12" s="878"/>
    </row>
    <row r="13" spans="1:19" ht="52.5" customHeight="1">
      <c r="A13" s="876" t="s">
        <v>104</v>
      </c>
      <c r="B13" s="877"/>
      <c r="C13" s="877"/>
      <c r="D13" s="878"/>
      <c r="E13" s="879" t="s">
        <v>98</v>
      </c>
      <c r="F13" s="880"/>
      <c r="G13" s="881">
        <v>1053632</v>
      </c>
      <c r="H13" s="882"/>
      <c r="I13" s="881">
        <v>365251010501170</v>
      </c>
      <c r="J13" s="882"/>
      <c r="K13" s="886">
        <v>12925</v>
      </c>
      <c r="L13" s="887"/>
      <c r="M13" s="876" t="s">
        <v>105</v>
      </c>
      <c r="N13" s="877"/>
      <c r="O13" s="877"/>
      <c r="P13" s="877"/>
      <c r="Q13" s="877"/>
      <c r="R13" s="878"/>
    </row>
    <row r="14" spans="1:19">
      <c r="A14" s="888"/>
      <c r="B14" s="889"/>
      <c r="C14" s="889"/>
      <c r="D14" s="890"/>
      <c r="E14" s="893"/>
      <c r="F14" s="894"/>
      <c r="G14" s="891"/>
      <c r="H14" s="892"/>
      <c r="I14" s="891"/>
      <c r="J14" s="892"/>
      <c r="K14" s="898"/>
      <c r="L14" s="899"/>
      <c r="M14" s="900"/>
      <c r="N14" s="901"/>
      <c r="O14" s="901"/>
      <c r="P14" s="901"/>
      <c r="Q14" s="901"/>
      <c r="R14" s="902"/>
    </row>
    <row r="15" spans="1:19">
      <c r="A15" s="884" t="s">
        <v>106</v>
      </c>
      <c r="B15" s="875"/>
      <c r="C15" s="875"/>
      <c r="D15" s="875"/>
      <c r="E15" s="875"/>
      <c r="F15" s="875"/>
      <c r="G15" s="875"/>
      <c r="H15" s="875"/>
      <c r="I15" s="875"/>
      <c r="J15" s="875"/>
      <c r="K15" s="875"/>
      <c r="L15" s="875"/>
      <c r="M15" s="875"/>
      <c r="N15" s="875"/>
      <c r="O15" s="875"/>
      <c r="P15" s="875"/>
      <c r="Q15" s="875"/>
      <c r="R15" s="885"/>
    </row>
    <row r="16" spans="1:19">
      <c r="A16" s="895" t="s">
        <v>107</v>
      </c>
      <c r="B16" s="864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83" t="s">
        <v>109</v>
      </c>
      <c r="D18" s="883"/>
      <c r="E18" s="37"/>
      <c r="F18" s="37"/>
      <c r="G18" s="37"/>
      <c r="H18" s="37"/>
      <c r="I18" s="883" t="s">
        <v>110</v>
      </c>
      <c r="J18" s="883"/>
      <c r="K18" s="883"/>
      <c r="L18" s="37"/>
      <c r="M18" s="37"/>
      <c r="N18" s="37"/>
      <c r="O18" s="37"/>
      <c r="P18" s="896">
        <f ca="1">NOW()</f>
        <v>45814.376622685188</v>
      </c>
      <c r="Q18" s="896"/>
      <c r="R18" s="897"/>
    </row>
    <row r="19" spans="1:18">
      <c r="A19" s="864" t="s">
        <v>111</v>
      </c>
      <c r="B19" s="864"/>
      <c r="E19" s="903" t="s">
        <v>112</v>
      </c>
      <c r="F19" s="904"/>
      <c r="G19" s="904"/>
      <c r="K19" s="28" t="s">
        <v>113</v>
      </c>
    </row>
    <row r="20" spans="1:18">
      <c r="A20" s="865" t="s">
        <v>114</v>
      </c>
      <c r="B20" s="865"/>
      <c r="F20" s="865" t="s">
        <v>114</v>
      </c>
      <c r="G20" s="865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tabSelected="1" view="pageBreakPreview" zoomScaleNormal="100" zoomScaleSheetLayoutView="100" workbookViewId="0">
      <selection activeCell="C3" sqref="C3:K3"/>
    </sheetView>
  </sheetViews>
  <sheetFormatPr defaultColWidth="8.85546875" defaultRowHeight="15"/>
  <cols>
    <col min="1" max="2" width="5.5703125" style="521" bestFit="1" customWidth="1"/>
    <col min="3" max="3" width="9.5703125" style="521" bestFit="1" customWidth="1"/>
    <col min="4" max="4" width="5.28515625" style="521" bestFit="1" customWidth="1"/>
    <col min="5" max="5" width="3.5703125" style="521" bestFit="1" customWidth="1"/>
    <col min="6" max="6" width="2.7109375" style="521" bestFit="1" customWidth="1"/>
    <col min="7" max="11" width="9.85546875" style="521" customWidth="1"/>
    <col min="12" max="16384" width="8.85546875" style="521"/>
  </cols>
  <sheetData>
    <row r="1" spans="1:11" ht="16.5">
      <c r="A1" s="523" t="s">
        <v>457</v>
      </c>
      <c r="B1" s="523" t="s">
        <v>215</v>
      </c>
      <c r="C1" s="523" t="s">
        <v>458</v>
      </c>
      <c r="D1" s="524">
        <f>封面!H10</f>
        <v>114</v>
      </c>
      <c r="E1" s="523" t="s">
        <v>118</v>
      </c>
      <c r="F1" s="524">
        <f>封面!J10</f>
        <v>5</v>
      </c>
      <c r="G1" s="625" t="s">
        <v>459</v>
      </c>
      <c r="H1" s="626"/>
      <c r="I1" s="626"/>
      <c r="J1" s="626"/>
      <c r="K1" s="626"/>
    </row>
    <row r="2" spans="1:11" ht="16.5">
      <c r="B2" s="520" t="s">
        <v>221</v>
      </c>
      <c r="C2" s="627" t="s">
        <v>484</v>
      </c>
      <c r="D2" s="628"/>
      <c r="E2" s="628"/>
      <c r="F2" s="628"/>
      <c r="G2" s="628"/>
      <c r="H2" s="628"/>
      <c r="I2" s="628"/>
      <c r="J2" s="628"/>
      <c r="K2" s="628"/>
    </row>
    <row r="3" spans="1:11" ht="36.75" customHeight="1">
      <c r="B3" s="548" t="s">
        <v>482</v>
      </c>
      <c r="C3" s="627" t="s">
        <v>483</v>
      </c>
      <c r="D3" s="628"/>
      <c r="E3" s="628"/>
      <c r="F3" s="628"/>
      <c r="G3" s="628"/>
      <c r="H3" s="628"/>
      <c r="I3" s="628"/>
      <c r="J3" s="628"/>
      <c r="K3" s="628"/>
    </row>
    <row r="4" spans="1:11" ht="35.450000000000003" customHeight="1">
      <c r="B4" s="631" t="s">
        <v>460</v>
      </c>
      <c r="C4" s="632"/>
      <c r="D4" s="522"/>
      <c r="E4" s="522"/>
      <c r="F4" s="633" t="s">
        <v>462</v>
      </c>
      <c r="G4" s="634"/>
      <c r="H4" s="634"/>
      <c r="I4" s="629" t="s">
        <v>461</v>
      </c>
      <c r="J4" s="630"/>
    </row>
  </sheetData>
  <mergeCells count="6">
    <mergeCell ref="G1:K1"/>
    <mergeCell ref="C2:K2"/>
    <mergeCell ref="I4:J4"/>
    <mergeCell ref="B4:C4"/>
    <mergeCell ref="F4:H4"/>
    <mergeCell ref="C3:K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E85D-7840-4116-9D82-A6BF7D7556B6}">
  <sheetPr>
    <outlinePr summaryBelow="0"/>
    <pageSetUpPr autoPageBreaks="0"/>
  </sheetPr>
  <dimension ref="A1:O193"/>
  <sheetViews>
    <sheetView showGridLines="0" topLeftCell="A142" workbookViewId="0">
      <selection activeCell="O190" sqref="O190"/>
    </sheetView>
  </sheetViews>
  <sheetFormatPr defaultRowHeight="12.75" customHeight="1"/>
  <cols>
    <col min="1" max="1" width="1.140625" style="549" customWidth="1"/>
    <col min="2" max="2" width="3.42578125" style="549" customWidth="1"/>
    <col min="3" max="3" width="3.5703125" style="549" customWidth="1"/>
    <col min="4" max="4" width="1" style="549" customWidth="1"/>
    <col min="5" max="5" width="8.7109375" style="549" customWidth="1"/>
    <col min="6" max="6" width="75.5703125" style="549" customWidth="1"/>
    <col min="7" max="7" width="1" style="549" customWidth="1"/>
    <col min="8" max="8" width="3.85546875" style="549" customWidth="1"/>
    <col min="9" max="9" width="8.140625" style="549" customWidth="1"/>
    <col min="10" max="10" width="1" style="549" customWidth="1"/>
    <col min="11" max="11" width="12" style="549" customWidth="1"/>
    <col min="12" max="12" width="6.28515625" style="549" customWidth="1"/>
    <col min="13" max="13" width="11.7109375" style="549" customWidth="1"/>
    <col min="14" max="14" width="8.85546875" style="549" customWidth="1"/>
    <col min="15" max="15" width="10.42578125" style="549" customWidth="1"/>
    <col min="16" max="256" width="6.85546875" style="549" customWidth="1"/>
    <col min="257" max="16384" width="9.140625" style="549"/>
  </cols>
  <sheetData>
    <row r="1" spans="1:13" ht="20.25" customHeight="1">
      <c r="A1" s="635" t="s">
        <v>954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</row>
    <row r="2" spans="1:13" ht="6" customHeight="1"/>
    <row r="3" spans="1:13" ht="20.25" customHeight="1">
      <c r="A3" s="635" t="s">
        <v>901</v>
      </c>
      <c r="B3" s="635"/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</row>
    <row r="4" spans="1:13" ht="6" customHeight="1"/>
    <row r="5" spans="1:13" ht="24.75" customHeight="1">
      <c r="A5" s="635" t="s">
        <v>900</v>
      </c>
      <c r="B5" s="635"/>
      <c r="C5" s="635"/>
      <c r="D5" s="635"/>
      <c r="E5" s="635"/>
      <c r="F5" s="635"/>
      <c r="G5" s="635"/>
      <c r="H5" s="635"/>
      <c r="I5" s="635"/>
      <c r="J5" s="635"/>
      <c r="K5" s="635"/>
      <c r="L5" s="635"/>
      <c r="M5" s="635"/>
    </row>
    <row r="6" spans="1:13" ht="12" customHeight="1">
      <c r="B6" s="636" t="s">
        <v>899</v>
      </c>
      <c r="C6" s="636"/>
      <c r="D6" s="636"/>
      <c r="E6" s="636"/>
      <c r="F6" s="636"/>
      <c r="G6" s="636"/>
      <c r="H6" s="636"/>
      <c r="I6" s="636"/>
      <c r="J6" s="636"/>
      <c r="K6" s="636"/>
      <c r="L6" s="636"/>
      <c r="M6" s="636"/>
    </row>
    <row r="7" spans="1:13" ht="6.75" customHeight="1"/>
    <row r="8" spans="1:13" ht="12" customHeight="1">
      <c r="A8" s="637" t="s">
        <v>898</v>
      </c>
      <c r="B8" s="637"/>
      <c r="C8" s="637"/>
      <c r="D8" s="637"/>
      <c r="E8" s="638" t="s">
        <v>897</v>
      </c>
      <c r="H8" s="638" t="s">
        <v>896</v>
      </c>
      <c r="I8" s="638"/>
      <c r="J8" s="638"/>
      <c r="K8" s="638"/>
      <c r="L8" s="638"/>
      <c r="M8" s="638"/>
    </row>
    <row r="9" spans="1:13" ht="12.75" hidden="1" customHeight="1">
      <c r="A9" s="637"/>
      <c r="B9" s="637"/>
      <c r="C9" s="637"/>
      <c r="D9" s="637"/>
      <c r="E9" s="638"/>
      <c r="F9" s="638" t="s">
        <v>895</v>
      </c>
      <c r="H9" s="638"/>
      <c r="I9" s="638"/>
      <c r="J9" s="638"/>
      <c r="K9" s="638"/>
      <c r="L9" s="638"/>
      <c r="M9" s="638"/>
    </row>
    <row r="10" spans="1:13" ht="13.5" customHeight="1">
      <c r="E10" s="638"/>
      <c r="F10" s="638"/>
    </row>
    <row r="11" spans="1:13" ht="12" customHeight="1">
      <c r="A11" s="638" t="s">
        <v>894</v>
      </c>
      <c r="B11" s="638"/>
      <c r="C11" s="638" t="s">
        <v>893</v>
      </c>
      <c r="D11" s="638"/>
      <c r="E11" s="638"/>
      <c r="G11" s="638" t="s">
        <v>892</v>
      </c>
      <c r="H11" s="638"/>
      <c r="I11" s="638"/>
      <c r="K11" s="597" t="s">
        <v>891</v>
      </c>
      <c r="L11" s="597" t="s">
        <v>890</v>
      </c>
      <c r="M11" s="597" t="s">
        <v>81</v>
      </c>
    </row>
    <row r="12" spans="1:13" ht="6" customHeight="1">
      <c r="E12" s="638"/>
    </row>
    <row r="13" spans="1:13" ht="3.75" customHeight="1"/>
    <row r="14" spans="1:13" ht="16.5" customHeight="1">
      <c r="A14" s="639" t="s">
        <v>911</v>
      </c>
      <c r="B14" s="639"/>
      <c r="C14" s="639" t="s">
        <v>881</v>
      </c>
      <c r="D14" s="639"/>
      <c r="E14" s="601" t="s">
        <v>953</v>
      </c>
      <c r="F14" s="600" t="s">
        <v>952</v>
      </c>
      <c r="K14" s="598">
        <v>82524</v>
      </c>
      <c r="L14" s="599" t="s">
        <v>859</v>
      </c>
      <c r="M14" s="598">
        <v>82524</v>
      </c>
    </row>
    <row r="15" spans="1:13" ht="0.75" customHeight="1"/>
    <row r="16" spans="1:13" ht="2.25" customHeight="1"/>
    <row r="17" spans="1:13" ht="12" customHeight="1">
      <c r="F17" s="594" t="s">
        <v>861</v>
      </c>
    </row>
    <row r="18" spans="1:13" ht="9" customHeight="1"/>
    <row r="19" spans="1:13" ht="16.5" customHeight="1">
      <c r="F19" s="594" t="s">
        <v>860</v>
      </c>
      <c r="K19" s="592">
        <v>82524</v>
      </c>
      <c r="L19" s="593" t="s">
        <v>859</v>
      </c>
      <c r="M19" s="592">
        <v>82524</v>
      </c>
    </row>
    <row r="20" spans="1:13" ht="3.75" customHeight="1"/>
    <row r="21" spans="1:13" ht="15" customHeight="1">
      <c r="A21" s="640" t="s">
        <v>911</v>
      </c>
      <c r="B21" s="640"/>
      <c r="C21" s="640" t="s">
        <v>881</v>
      </c>
      <c r="D21" s="640"/>
      <c r="E21" s="596" t="s">
        <v>951</v>
      </c>
      <c r="F21" s="641" t="s">
        <v>950</v>
      </c>
      <c r="K21" s="592">
        <v>5300</v>
      </c>
      <c r="L21" s="593" t="s">
        <v>859</v>
      </c>
      <c r="M21" s="592">
        <v>87824</v>
      </c>
    </row>
    <row r="22" spans="1:13" ht="15" customHeight="1">
      <c r="F22" s="641"/>
    </row>
    <row r="23" spans="1:13" ht="0.75" customHeight="1"/>
    <row r="24" spans="1:13" ht="3.75" customHeight="1"/>
    <row r="25" spans="1:13" ht="16.5" customHeight="1">
      <c r="A25" s="640" t="s">
        <v>911</v>
      </c>
      <c r="B25" s="640"/>
      <c r="C25" s="640" t="s">
        <v>946</v>
      </c>
      <c r="D25" s="640"/>
      <c r="E25" s="596" t="s">
        <v>949</v>
      </c>
      <c r="F25" s="595" t="s">
        <v>948</v>
      </c>
      <c r="K25" s="592">
        <v>15064</v>
      </c>
      <c r="L25" s="593" t="s">
        <v>859</v>
      </c>
      <c r="M25" s="592">
        <v>102888</v>
      </c>
    </row>
    <row r="26" spans="1:13" ht="0.75" customHeight="1"/>
    <row r="27" spans="1:13" ht="3.75" customHeight="1"/>
    <row r="28" spans="1:13" ht="16.5" customHeight="1">
      <c r="A28" s="640" t="s">
        <v>911</v>
      </c>
      <c r="B28" s="640"/>
      <c r="C28" s="640" t="s">
        <v>946</v>
      </c>
      <c r="D28" s="640"/>
      <c r="E28" s="596" t="s">
        <v>945</v>
      </c>
      <c r="F28" s="595" t="s">
        <v>947</v>
      </c>
      <c r="H28" s="642">
        <v>36522</v>
      </c>
      <c r="I28" s="642"/>
      <c r="L28" s="593" t="s">
        <v>859</v>
      </c>
      <c r="M28" s="592">
        <v>66366</v>
      </c>
    </row>
    <row r="29" spans="1:13" ht="0.75" customHeight="1"/>
    <row r="30" spans="1:13" ht="3.75" customHeight="1"/>
    <row r="31" spans="1:13" ht="16.5" customHeight="1">
      <c r="A31" s="640" t="s">
        <v>911</v>
      </c>
      <c r="B31" s="640"/>
      <c r="C31" s="640" t="s">
        <v>946</v>
      </c>
      <c r="D31" s="640"/>
      <c r="E31" s="596" t="s">
        <v>945</v>
      </c>
      <c r="F31" s="595" t="s">
        <v>944</v>
      </c>
      <c r="H31" s="642">
        <v>36322</v>
      </c>
      <c r="I31" s="642"/>
      <c r="L31" s="593" t="s">
        <v>859</v>
      </c>
      <c r="M31" s="592">
        <v>30044</v>
      </c>
    </row>
    <row r="32" spans="1:13" ht="0.75" customHeight="1"/>
    <row r="33" spans="1:13" ht="3.75" customHeight="1"/>
    <row r="34" spans="1:13" ht="15" customHeight="1">
      <c r="A34" s="640" t="s">
        <v>911</v>
      </c>
      <c r="B34" s="640"/>
      <c r="C34" s="640" t="s">
        <v>535</v>
      </c>
      <c r="D34" s="640"/>
      <c r="E34" s="596" t="s">
        <v>943</v>
      </c>
      <c r="F34" s="641" t="s">
        <v>942</v>
      </c>
      <c r="K34" s="592">
        <v>6900</v>
      </c>
      <c r="L34" s="593" t="s">
        <v>859</v>
      </c>
      <c r="M34" s="592">
        <v>36944</v>
      </c>
    </row>
    <row r="35" spans="1:13" ht="15" customHeight="1">
      <c r="F35" s="641"/>
    </row>
    <row r="36" spans="1:13" ht="0.75" customHeight="1"/>
    <row r="37" spans="1:13" ht="3.75" customHeight="1"/>
    <row r="38" spans="1:13" ht="16.5" customHeight="1">
      <c r="A38" s="640" t="s">
        <v>911</v>
      </c>
      <c r="B38" s="640"/>
      <c r="C38" s="640" t="s">
        <v>613</v>
      </c>
      <c r="D38" s="640"/>
      <c r="E38" s="596" t="s">
        <v>941</v>
      </c>
      <c r="F38" s="595" t="s">
        <v>940</v>
      </c>
      <c r="K38" s="592">
        <v>17704</v>
      </c>
      <c r="L38" s="593" t="s">
        <v>859</v>
      </c>
      <c r="M38" s="592">
        <v>54648</v>
      </c>
    </row>
    <row r="39" spans="1:13" ht="0.75" customHeight="1"/>
    <row r="40" spans="1:13" ht="3.75" customHeight="1"/>
    <row r="41" spans="1:13" ht="16.5" customHeight="1">
      <c r="A41" s="640" t="s">
        <v>911</v>
      </c>
      <c r="B41" s="640"/>
      <c r="C41" s="640" t="s">
        <v>613</v>
      </c>
      <c r="D41" s="640"/>
      <c r="E41" s="596" t="s">
        <v>939</v>
      </c>
      <c r="F41" s="595" t="s">
        <v>938</v>
      </c>
      <c r="K41" s="592">
        <v>2545</v>
      </c>
      <c r="L41" s="593" t="s">
        <v>859</v>
      </c>
      <c r="M41" s="592">
        <v>57193</v>
      </c>
    </row>
    <row r="42" spans="1:13" ht="0.75" customHeight="1"/>
    <row r="43" spans="1:13" ht="3.75" customHeight="1"/>
    <row r="44" spans="1:13" ht="12" customHeight="1">
      <c r="F44" s="594" t="s">
        <v>861</v>
      </c>
      <c r="H44" s="642">
        <v>72844</v>
      </c>
      <c r="I44" s="642"/>
      <c r="K44" s="592">
        <v>47513</v>
      </c>
      <c r="M44" s="592">
        <v>25331</v>
      </c>
    </row>
    <row r="45" spans="1:13" ht="7.5" customHeight="1"/>
    <row r="46" spans="1:13" ht="15.75" customHeight="1">
      <c r="F46" s="594" t="s">
        <v>860</v>
      </c>
      <c r="H46" s="642">
        <v>72844</v>
      </c>
      <c r="I46" s="642"/>
      <c r="K46" s="592">
        <v>130037</v>
      </c>
      <c r="L46" s="593" t="s">
        <v>859</v>
      </c>
      <c r="M46" s="592">
        <v>57193</v>
      </c>
    </row>
    <row r="47" spans="1:13" ht="3.75" customHeight="1"/>
    <row r="48" spans="1:13" ht="15" customHeight="1">
      <c r="A48" s="640" t="s">
        <v>881</v>
      </c>
      <c r="B48" s="640"/>
      <c r="C48" s="640" t="s">
        <v>542</v>
      </c>
      <c r="D48" s="640"/>
      <c r="E48" s="596" t="s">
        <v>937</v>
      </c>
      <c r="F48" s="641" t="s">
        <v>936</v>
      </c>
      <c r="K48" s="592">
        <v>6855</v>
      </c>
      <c r="L48" s="593" t="s">
        <v>859</v>
      </c>
      <c r="M48" s="592">
        <v>64048</v>
      </c>
    </row>
    <row r="49" spans="1:13" ht="15" customHeight="1">
      <c r="F49" s="641"/>
    </row>
    <row r="50" spans="1:13" ht="0.75" customHeight="1"/>
    <row r="51" spans="1:13" ht="3.75" customHeight="1"/>
    <row r="52" spans="1:13" ht="16.5" customHeight="1">
      <c r="A52" s="640" t="s">
        <v>881</v>
      </c>
      <c r="B52" s="640"/>
      <c r="C52" s="640" t="s">
        <v>617</v>
      </c>
      <c r="D52" s="640"/>
      <c r="E52" s="596" t="s">
        <v>935</v>
      </c>
      <c r="F52" s="595" t="s">
        <v>934</v>
      </c>
      <c r="K52" s="592">
        <v>2545</v>
      </c>
      <c r="L52" s="593" t="s">
        <v>859</v>
      </c>
      <c r="M52" s="592">
        <v>66593</v>
      </c>
    </row>
    <row r="53" spans="1:13" ht="0.75" customHeight="1"/>
    <row r="54" spans="1:13" ht="3.75" customHeight="1"/>
    <row r="55" spans="1:13" ht="16.5" customHeight="1">
      <c r="A55" s="640" t="s">
        <v>881</v>
      </c>
      <c r="B55" s="640"/>
      <c r="C55" s="640" t="s">
        <v>869</v>
      </c>
      <c r="D55" s="640"/>
      <c r="E55" s="596" t="s">
        <v>933</v>
      </c>
      <c r="F55" s="595" t="s">
        <v>932</v>
      </c>
      <c r="H55" s="642">
        <v>37610</v>
      </c>
      <c r="I55" s="642"/>
      <c r="L55" s="593" t="s">
        <v>859</v>
      </c>
      <c r="M55" s="592">
        <v>28983</v>
      </c>
    </row>
    <row r="56" spans="1:13" ht="0.75" customHeight="1"/>
    <row r="57" spans="1:13" ht="3.75" customHeight="1"/>
    <row r="58" spans="1:13" ht="16.5" customHeight="1">
      <c r="A58" s="640" t="s">
        <v>881</v>
      </c>
      <c r="B58" s="640"/>
      <c r="C58" s="640" t="s">
        <v>627</v>
      </c>
      <c r="D58" s="640"/>
      <c r="E58" s="596" t="s">
        <v>931</v>
      </c>
      <c r="F58" s="595" t="s">
        <v>930</v>
      </c>
      <c r="K58" s="592">
        <v>24045</v>
      </c>
      <c r="L58" s="593" t="s">
        <v>859</v>
      </c>
      <c r="M58" s="592">
        <v>53028</v>
      </c>
    </row>
    <row r="59" spans="1:13" ht="0.75" customHeight="1"/>
    <row r="60" spans="1:13" ht="3.75" customHeight="1"/>
    <row r="61" spans="1:13" ht="12" customHeight="1">
      <c r="F61" s="594" t="s">
        <v>861</v>
      </c>
      <c r="H61" s="642">
        <v>37610</v>
      </c>
      <c r="I61" s="642"/>
      <c r="K61" s="592">
        <v>33445</v>
      </c>
      <c r="M61" s="592">
        <v>4165</v>
      </c>
    </row>
    <row r="62" spans="1:13" ht="7.5" customHeight="1"/>
    <row r="63" spans="1:13" ht="15.75" customHeight="1">
      <c r="F63" s="594" t="s">
        <v>860</v>
      </c>
      <c r="H63" s="642">
        <v>110454</v>
      </c>
      <c r="I63" s="642"/>
      <c r="K63" s="592">
        <v>163482</v>
      </c>
      <c r="L63" s="593" t="s">
        <v>859</v>
      </c>
      <c r="M63" s="592">
        <v>53028</v>
      </c>
    </row>
    <row r="64" spans="1:13" ht="20.25" customHeight="1">
      <c r="A64" s="635" t="s">
        <v>902</v>
      </c>
      <c r="B64" s="635"/>
      <c r="C64" s="635"/>
      <c r="D64" s="635"/>
      <c r="E64" s="635"/>
      <c r="F64" s="635"/>
      <c r="G64" s="635"/>
      <c r="H64" s="635"/>
      <c r="I64" s="635"/>
      <c r="J64" s="635"/>
      <c r="K64" s="635"/>
      <c r="L64" s="635"/>
      <c r="M64" s="635"/>
    </row>
    <row r="65" spans="1:13" ht="6" customHeight="1"/>
    <row r="66" spans="1:13" ht="20.25" customHeight="1">
      <c r="A66" s="635" t="s">
        <v>901</v>
      </c>
      <c r="B66" s="635"/>
      <c r="C66" s="635"/>
      <c r="D66" s="635"/>
      <c r="E66" s="635"/>
      <c r="F66" s="635"/>
      <c r="G66" s="635"/>
      <c r="H66" s="635"/>
      <c r="I66" s="635"/>
      <c r="J66" s="635"/>
      <c r="K66" s="635"/>
      <c r="L66" s="635"/>
      <c r="M66" s="635"/>
    </row>
    <row r="67" spans="1:13" ht="6" customHeight="1"/>
    <row r="68" spans="1:13" ht="24.75" customHeight="1">
      <c r="A68" s="635" t="s">
        <v>900</v>
      </c>
      <c r="B68" s="635"/>
      <c r="C68" s="635"/>
      <c r="D68" s="635"/>
      <c r="E68" s="635"/>
      <c r="F68" s="635"/>
      <c r="G68" s="635"/>
      <c r="H68" s="635"/>
      <c r="I68" s="635"/>
      <c r="J68" s="635"/>
      <c r="K68" s="635"/>
      <c r="L68" s="635"/>
      <c r="M68" s="635"/>
    </row>
    <row r="69" spans="1:13" ht="12" customHeight="1">
      <c r="B69" s="636" t="s">
        <v>899</v>
      </c>
      <c r="C69" s="636"/>
      <c r="D69" s="636"/>
      <c r="E69" s="636"/>
      <c r="F69" s="636"/>
      <c r="G69" s="636"/>
      <c r="H69" s="636"/>
      <c r="I69" s="636"/>
      <c r="J69" s="636"/>
      <c r="K69" s="636"/>
      <c r="L69" s="636"/>
      <c r="M69" s="636"/>
    </row>
    <row r="70" spans="1:13" ht="6.75" customHeight="1"/>
    <row r="71" spans="1:13" ht="12" customHeight="1">
      <c r="A71" s="637" t="s">
        <v>898</v>
      </c>
      <c r="B71" s="637"/>
      <c r="C71" s="637"/>
      <c r="D71" s="637"/>
      <c r="E71" s="638" t="s">
        <v>897</v>
      </c>
      <c r="H71" s="638" t="s">
        <v>896</v>
      </c>
      <c r="I71" s="638"/>
      <c r="J71" s="638"/>
      <c r="K71" s="638"/>
      <c r="L71" s="638"/>
      <c r="M71" s="638"/>
    </row>
    <row r="72" spans="1:13" ht="12.75" hidden="1" customHeight="1">
      <c r="A72" s="637"/>
      <c r="B72" s="637"/>
      <c r="C72" s="637"/>
      <c r="D72" s="637"/>
      <c r="E72" s="638"/>
      <c r="F72" s="638" t="s">
        <v>895</v>
      </c>
      <c r="H72" s="638"/>
      <c r="I72" s="638"/>
      <c r="J72" s="638"/>
      <c r="K72" s="638"/>
      <c r="L72" s="638"/>
      <c r="M72" s="638"/>
    </row>
    <row r="73" spans="1:13" ht="13.5" customHeight="1">
      <c r="E73" s="638"/>
      <c r="F73" s="638"/>
    </row>
    <row r="74" spans="1:13" ht="12" customHeight="1">
      <c r="A74" s="638" t="s">
        <v>894</v>
      </c>
      <c r="B74" s="638"/>
      <c r="C74" s="638" t="s">
        <v>893</v>
      </c>
      <c r="D74" s="638"/>
      <c r="E74" s="638"/>
      <c r="G74" s="638" t="s">
        <v>892</v>
      </c>
      <c r="H74" s="638"/>
      <c r="I74" s="638"/>
      <c r="K74" s="597" t="s">
        <v>891</v>
      </c>
      <c r="L74" s="597" t="s">
        <v>890</v>
      </c>
      <c r="M74" s="597" t="s">
        <v>81</v>
      </c>
    </row>
    <row r="75" spans="1:13" ht="6" customHeight="1">
      <c r="E75" s="638"/>
    </row>
    <row r="76" spans="1:13" ht="3.75" customHeight="1"/>
    <row r="77" spans="1:13" ht="16.5" customHeight="1">
      <c r="A77" s="640" t="s">
        <v>914</v>
      </c>
      <c r="B77" s="640"/>
      <c r="C77" s="640" t="s">
        <v>921</v>
      </c>
      <c r="D77" s="640"/>
      <c r="E77" s="596" t="s">
        <v>920</v>
      </c>
      <c r="F77" s="595" t="s">
        <v>929</v>
      </c>
      <c r="K77" s="592">
        <v>9</v>
      </c>
      <c r="L77" s="593" t="s">
        <v>859</v>
      </c>
      <c r="M77" s="592">
        <v>53037</v>
      </c>
    </row>
    <row r="78" spans="1:13" ht="0.75" customHeight="1"/>
    <row r="79" spans="1:13" ht="3.75" customHeight="1"/>
    <row r="80" spans="1:13" ht="16.5" customHeight="1">
      <c r="A80" s="640" t="s">
        <v>914</v>
      </c>
      <c r="B80" s="640"/>
      <c r="C80" s="640" t="s">
        <v>921</v>
      </c>
      <c r="D80" s="640"/>
      <c r="E80" s="596" t="s">
        <v>920</v>
      </c>
      <c r="F80" s="595" t="s">
        <v>928</v>
      </c>
      <c r="K80" s="592">
        <v>44</v>
      </c>
      <c r="L80" s="593" t="s">
        <v>859</v>
      </c>
      <c r="M80" s="592">
        <v>53081</v>
      </c>
    </row>
    <row r="81" spans="1:13" ht="0.75" customHeight="1"/>
    <row r="82" spans="1:13" ht="3.75" customHeight="1"/>
    <row r="83" spans="1:13" ht="16.5" customHeight="1">
      <c r="A83" s="640" t="s">
        <v>914</v>
      </c>
      <c r="B83" s="640"/>
      <c r="C83" s="640" t="s">
        <v>921</v>
      </c>
      <c r="D83" s="640"/>
      <c r="E83" s="596" t="s">
        <v>920</v>
      </c>
      <c r="F83" s="595" t="s">
        <v>927</v>
      </c>
      <c r="K83" s="592">
        <v>125</v>
      </c>
      <c r="L83" s="593" t="s">
        <v>859</v>
      </c>
      <c r="M83" s="592">
        <v>53206</v>
      </c>
    </row>
    <row r="84" spans="1:13" ht="0.75" customHeight="1"/>
    <row r="85" spans="1:13" ht="3.75" customHeight="1"/>
    <row r="86" spans="1:13" ht="16.5" customHeight="1">
      <c r="A86" s="640" t="s">
        <v>914</v>
      </c>
      <c r="B86" s="640"/>
      <c r="C86" s="640" t="s">
        <v>921</v>
      </c>
      <c r="D86" s="640"/>
      <c r="E86" s="596" t="s">
        <v>920</v>
      </c>
      <c r="F86" s="595" t="s">
        <v>926</v>
      </c>
      <c r="K86" s="592">
        <v>9</v>
      </c>
      <c r="L86" s="593" t="s">
        <v>859</v>
      </c>
      <c r="M86" s="592">
        <v>53215</v>
      </c>
    </row>
    <row r="87" spans="1:13" ht="0.75" customHeight="1"/>
    <row r="88" spans="1:13" ht="3.75" customHeight="1"/>
    <row r="89" spans="1:13" ht="16.5" customHeight="1">
      <c r="A89" s="640" t="s">
        <v>914</v>
      </c>
      <c r="B89" s="640"/>
      <c r="C89" s="640" t="s">
        <v>921</v>
      </c>
      <c r="D89" s="640"/>
      <c r="E89" s="596" t="s">
        <v>920</v>
      </c>
      <c r="F89" s="595" t="s">
        <v>925</v>
      </c>
      <c r="K89" s="592">
        <v>177</v>
      </c>
      <c r="L89" s="593" t="s">
        <v>859</v>
      </c>
      <c r="M89" s="592">
        <v>53392</v>
      </c>
    </row>
    <row r="90" spans="1:13" ht="0.75" customHeight="1"/>
    <row r="91" spans="1:13" ht="3.75" customHeight="1"/>
    <row r="92" spans="1:13" ht="16.5" customHeight="1">
      <c r="A92" s="640" t="s">
        <v>914</v>
      </c>
      <c r="B92" s="640"/>
      <c r="C92" s="640" t="s">
        <v>921</v>
      </c>
      <c r="D92" s="640"/>
      <c r="E92" s="596" t="s">
        <v>920</v>
      </c>
      <c r="F92" s="595" t="s">
        <v>924</v>
      </c>
      <c r="K92" s="592">
        <v>176</v>
      </c>
      <c r="L92" s="593" t="s">
        <v>859</v>
      </c>
      <c r="M92" s="592">
        <v>53568</v>
      </c>
    </row>
    <row r="93" spans="1:13" ht="0.75" customHeight="1"/>
    <row r="94" spans="1:13" ht="3.75" customHeight="1"/>
    <row r="95" spans="1:13" ht="16.5" customHeight="1">
      <c r="A95" s="640" t="s">
        <v>914</v>
      </c>
      <c r="B95" s="640"/>
      <c r="C95" s="640" t="s">
        <v>921</v>
      </c>
      <c r="D95" s="640"/>
      <c r="E95" s="596" t="s">
        <v>920</v>
      </c>
      <c r="F95" s="595" t="s">
        <v>923</v>
      </c>
      <c r="K95" s="592">
        <v>224</v>
      </c>
      <c r="L95" s="593" t="s">
        <v>859</v>
      </c>
      <c r="M95" s="592">
        <v>53792</v>
      </c>
    </row>
    <row r="96" spans="1:13" ht="0.75" customHeight="1"/>
    <row r="97" spans="1:13" ht="3.75" customHeight="1"/>
    <row r="98" spans="1:13" ht="16.5" customHeight="1">
      <c r="A98" s="640" t="s">
        <v>914</v>
      </c>
      <c r="B98" s="640"/>
      <c r="C98" s="640" t="s">
        <v>921</v>
      </c>
      <c r="D98" s="640"/>
      <c r="E98" s="596" t="s">
        <v>920</v>
      </c>
      <c r="F98" s="595" t="s">
        <v>922</v>
      </c>
      <c r="K98" s="592">
        <v>27</v>
      </c>
      <c r="L98" s="593" t="s">
        <v>859</v>
      </c>
      <c r="M98" s="592">
        <v>53819</v>
      </c>
    </row>
    <row r="99" spans="1:13" ht="0.75" customHeight="1"/>
    <row r="100" spans="1:13" ht="3.75" customHeight="1"/>
    <row r="101" spans="1:13" ht="16.5" customHeight="1">
      <c r="A101" s="640" t="s">
        <v>914</v>
      </c>
      <c r="B101" s="640"/>
      <c r="C101" s="640" t="s">
        <v>921</v>
      </c>
      <c r="D101" s="640"/>
      <c r="E101" s="596" t="s">
        <v>920</v>
      </c>
      <c r="F101" s="595" t="s">
        <v>919</v>
      </c>
      <c r="K101" s="592">
        <v>58</v>
      </c>
      <c r="L101" s="593" t="s">
        <v>859</v>
      </c>
      <c r="M101" s="592">
        <v>53877</v>
      </c>
    </row>
    <row r="102" spans="1:13" ht="0.75" customHeight="1"/>
    <row r="103" spans="1:13" ht="3.75" customHeight="1"/>
    <row r="104" spans="1:13" ht="15" customHeight="1">
      <c r="A104" s="640" t="s">
        <v>914</v>
      </c>
      <c r="B104" s="640"/>
      <c r="C104" s="640" t="s">
        <v>869</v>
      </c>
      <c r="D104" s="640"/>
      <c r="E104" s="596" t="s">
        <v>918</v>
      </c>
      <c r="F104" s="641" t="s">
        <v>917</v>
      </c>
      <c r="K104" s="592">
        <v>6855</v>
      </c>
      <c r="L104" s="593" t="s">
        <v>859</v>
      </c>
      <c r="M104" s="592">
        <v>60732</v>
      </c>
    </row>
    <row r="105" spans="1:13" ht="15" customHeight="1">
      <c r="F105" s="641"/>
    </row>
    <row r="106" spans="1:13" ht="0.75" customHeight="1"/>
    <row r="107" spans="1:13" ht="3.75" customHeight="1"/>
    <row r="108" spans="1:13" ht="16.5" customHeight="1">
      <c r="A108" s="640" t="s">
        <v>914</v>
      </c>
      <c r="B108" s="640"/>
      <c r="C108" s="640" t="s">
        <v>550</v>
      </c>
      <c r="D108" s="640"/>
      <c r="E108" s="596" t="s">
        <v>916</v>
      </c>
      <c r="F108" s="595" t="s">
        <v>915</v>
      </c>
      <c r="K108" s="592">
        <v>2545</v>
      </c>
      <c r="L108" s="593" t="s">
        <v>859</v>
      </c>
      <c r="M108" s="592">
        <v>63277</v>
      </c>
    </row>
    <row r="109" spans="1:13" ht="0.75" customHeight="1"/>
    <row r="110" spans="1:13" ht="3.75" customHeight="1"/>
    <row r="111" spans="1:13" ht="16.5" customHeight="1">
      <c r="A111" s="640" t="s">
        <v>914</v>
      </c>
      <c r="B111" s="640"/>
      <c r="C111" s="640" t="s">
        <v>559</v>
      </c>
      <c r="D111" s="640"/>
      <c r="E111" s="596" t="s">
        <v>913</v>
      </c>
      <c r="F111" s="595" t="s">
        <v>912</v>
      </c>
      <c r="K111" s="592">
        <v>20997</v>
      </c>
      <c r="L111" s="593" t="s">
        <v>859</v>
      </c>
      <c r="M111" s="592">
        <v>84274</v>
      </c>
    </row>
    <row r="112" spans="1:13" ht="0.75" customHeight="1"/>
    <row r="113" spans="1:14" ht="3.75" customHeight="1"/>
    <row r="114" spans="1:14" ht="12" customHeight="1">
      <c r="F114" s="594" t="s">
        <v>861</v>
      </c>
      <c r="K114" s="592">
        <v>31246</v>
      </c>
      <c r="M114" s="592">
        <v>31246</v>
      </c>
    </row>
    <row r="115" spans="1:14" ht="7.5" customHeight="1"/>
    <row r="116" spans="1:14" ht="15.75" customHeight="1">
      <c r="F116" s="594" t="s">
        <v>860</v>
      </c>
      <c r="H116" s="642">
        <v>110454</v>
      </c>
      <c r="I116" s="642"/>
      <c r="K116" s="592">
        <v>194728</v>
      </c>
      <c r="L116" s="593" t="s">
        <v>859</v>
      </c>
      <c r="M116" s="592">
        <v>84274</v>
      </c>
    </row>
    <row r="117" spans="1:14" ht="3.75" customHeight="1"/>
    <row r="118" spans="1:14" ht="16.5" customHeight="1">
      <c r="A118" s="640" t="s">
        <v>885</v>
      </c>
      <c r="B118" s="640"/>
      <c r="C118" s="640" t="s">
        <v>911</v>
      </c>
      <c r="D118" s="640"/>
      <c r="E118" s="596" t="s">
        <v>910</v>
      </c>
      <c r="F118" s="595" t="s">
        <v>909</v>
      </c>
      <c r="H118" s="642">
        <v>38269</v>
      </c>
      <c r="I118" s="642"/>
      <c r="L118" s="593" t="s">
        <v>859</v>
      </c>
      <c r="M118" s="592">
        <v>46005</v>
      </c>
    </row>
    <row r="119" spans="1:14" ht="0.75" customHeight="1"/>
    <row r="120" spans="1:14" ht="3.75" customHeight="1"/>
    <row r="121" spans="1:14" ht="16.5" customHeight="1">
      <c r="A121" s="640" t="s">
        <v>885</v>
      </c>
      <c r="B121" s="640"/>
      <c r="C121" s="640" t="s">
        <v>907</v>
      </c>
      <c r="D121" s="640"/>
      <c r="E121" s="596" t="s">
        <v>906</v>
      </c>
      <c r="F121" s="595" t="s">
        <v>908</v>
      </c>
      <c r="K121" s="592">
        <v>168</v>
      </c>
      <c r="L121" s="593" t="s">
        <v>859</v>
      </c>
      <c r="M121" s="592">
        <v>46173</v>
      </c>
    </row>
    <row r="122" spans="1:14" ht="0.75" customHeight="1"/>
    <row r="123" spans="1:14" ht="3.75" customHeight="1"/>
    <row r="124" spans="1:14" ht="16.5" customHeight="1">
      <c r="A124" s="640" t="s">
        <v>885</v>
      </c>
      <c r="B124" s="640"/>
      <c r="C124" s="640" t="s">
        <v>907</v>
      </c>
      <c r="D124" s="640"/>
      <c r="E124" s="596" t="s">
        <v>906</v>
      </c>
      <c r="F124" s="595" t="s">
        <v>905</v>
      </c>
      <c r="K124" s="592">
        <v>47</v>
      </c>
      <c r="L124" s="593" t="s">
        <v>859</v>
      </c>
      <c r="M124" s="592">
        <v>46220</v>
      </c>
    </row>
    <row r="125" spans="1:14" ht="0.75" customHeight="1"/>
    <row r="126" spans="1:14" ht="3.75" customHeight="1"/>
    <row r="127" spans="1:14" ht="15" customHeight="1">
      <c r="A127" s="640" t="s">
        <v>885</v>
      </c>
      <c r="B127" s="640"/>
      <c r="C127" s="640" t="s">
        <v>613</v>
      </c>
      <c r="D127" s="640"/>
      <c r="E127" s="596" t="s">
        <v>904</v>
      </c>
      <c r="F127" s="641" t="s">
        <v>903</v>
      </c>
      <c r="K127" s="592">
        <v>6855</v>
      </c>
      <c r="L127" s="593" t="s">
        <v>859</v>
      </c>
      <c r="M127" s="592">
        <v>53075</v>
      </c>
      <c r="N127" s="549">
        <f>1050+3150+1145</f>
        <v>5345</v>
      </c>
    </row>
    <row r="128" spans="1:14" ht="15" customHeight="1">
      <c r="F128" s="641"/>
    </row>
    <row r="129" spans="1:13" ht="0.75" customHeight="1"/>
    <row r="130" spans="1:13" ht="20.25" customHeight="1">
      <c r="A130" s="635" t="s">
        <v>902</v>
      </c>
      <c r="B130" s="635"/>
      <c r="C130" s="635"/>
      <c r="D130" s="635"/>
      <c r="E130" s="635"/>
      <c r="F130" s="635"/>
      <c r="G130" s="635"/>
      <c r="H130" s="635"/>
      <c r="I130" s="635"/>
      <c r="J130" s="635"/>
      <c r="K130" s="635"/>
      <c r="L130" s="635"/>
      <c r="M130" s="635"/>
    </row>
    <row r="131" spans="1:13" ht="6" customHeight="1"/>
    <row r="132" spans="1:13" ht="20.25" customHeight="1">
      <c r="A132" s="635" t="s">
        <v>901</v>
      </c>
      <c r="B132" s="635"/>
      <c r="C132" s="635"/>
      <c r="D132" s="635"/>
      <c r="E132" s="635"/>
      <c r="F132" s="635"/>
      <c r="G132" s="635"/>
      <c r="H132" s="635"/>
      <c r="I132" s="635"/>
      <c r="J132" s="635"/>
      <c r="K132" s="635"/>
      <c r="L132" s="635"/>
      <c r="M132" s="635"/>
    </row>
    <row r="133" spans="1:13" ht="6" customHeight="1"/>
    <row r="134" spans="1:13" ht="24.75" customHeight="1">
      <c r="A134" s="635" t="s">
        <v>900</v>
      </c>
      <c r="B134" s="635"/>
      <c r="C134" s="635"/>
      <c r="D134" s="635"/>
      <c r="E134" s="635"/>
      <c r="F134" s="635"/>
      <c r="G134" s="635"/>
      <c r="H134" s="635"/>
      <c r="I134" s="635"/>
      <c r="J134" s="635"/>
      <c r="K134" s="635"/>
      <c r="L134" s="635"/>
      <c r="M134" s="635"/>
    </row>
    <row r="135" spans="1:13" ht="12" customHeight="1">
      <c r="B135" s="636" t="s">
        <v>899</v>
      </c>
      <c r="C135" s="636"/>
      <c r="D135" s="636"/>
      <c r="E135" s="636"/>
      <c r="F135" s="636"/>
      <c r="G135" s="636"/>
      <c r="H135" s="636"/>
      <c r="I135" s="636"/>
      <c r="J135" s="636"/>
      <c r="K135" s="636"/>
      <c r="L135" s="636"/>
      <c r="M135" s="636"/>
    </row>
    <row r="136" spans="1:13" ht="6.75" customHeight="1"/>
    <row r="137" spans="1:13" ht="12" customHeight="1">
      <c r="A137" s="637" t="s">
        <v>898</v>
      </c>
      <c r="B137" s="637"/>
      <c r="C137" s="637"/>
      <c r="D137" s="637"/>
      <c r="E137" s="638" t="s">
        <v>897</v>
      </c>
      <c r="H137" s="638" t="s">
        <v>896</v>
      </c>
      <c r="I137" s="638"/>
      <c r="J137" s="638"/>
      <c r="K137" s="638"/>
      <c r="L137" s="638"/>
      <c r="M137" s="638"/>
    </row>
    <row r="138" spans="1:13" ht="12.75" hidden="1" customHeight="1">
      <c r="A138" s="637"/>
      <c r="B138" s="637"/>
      <c r="C138" s="637"/>
      <c r="D138" s="637"/>
      <c r="E138" s="638"/>
      <c r="F138" s="638" t="s">
        <v>895</v>
      </c>
      <c r="H138" s="638"/>
      <c r="I138" s="638"/>
      <c r="J138" s="638"/>
      <c r="K138" s="638"/>
      <c r="L138" s="638"/>
      <c r="M138" s="638"/>
    </row>
    <row r="139" spans="1:13" ht="13.5" customHeight="1">
      <c r="E139" s="638"/>
      <c r="F139" s="638"/>
    </row>
    <row r="140" spans="1:13" ht="12" customHeight="1">
      <c r="A140" s="638" t="s">
        <v>894</v>
      </c>
      <c r="B140" s="638"/>
      <c r="C140" s="638" t="s">
        <v>893</v>
      </c>
      <c r="D140" s="638"/>
      <c r="E140" s="638"/>
      <c r="G140" s="638" t="s">
        <v>892</v>
      </c>
      <c r="H140" s="638"/>
      <c r="I140" s="638"/>
      <c r="K140" s="597" t="s">
        <v>891</v>
      </c>
      <c r="L140" s="597" t="s">
        <v>890</v>
      </c>
      <c r="M140" s="597" t="s">
        <v>81</v>
      </c>
    </row>
    <row r="141" spans="1:13" ht="6" customHeight="1">
      <c r="E141" s="638"/>
    </row>
    <row r="142" spans="1:13" ht="3.75" customHeight="1"/>
    <row r="143" spans="1:13" ht="16.5" customHeight="1">
      <c r="A143" s="640" t="s">
        <v>885</v>
      </c>
      <c r="B143" s="640"/>
      <c r="C143" s="640" t="s">
        <v>617</v>
      </c>
      <c r="D143" s="640"/>
      <c r="E143" s="596" t="s">
        <v>889</v>
      </c>
      <c r="F143" s="595" t="s">
        <v>888</v>
      </c>
      <c r="K143" s="592">
        <v>2545</v>
      </c>
      <c r="L143" s="593" t="s">
        <v>859</v>
      </c>
      <c r="M143" s="592">
        <v>55620</v>
      </c>
    </row>
    <row r="144" spans="1:13" ht="0.75" customHeight="1"/>
    <row r="145" spans="1:14" ht="3.75" customHeight="1"/>
    <row r="146" spans="1:14" ht="16.5" customHeight="1">
      <c r="A146" s="640" t="s">
        <v>885</v>
      </c>
      <c r="B146" s="640"/>
      <c r="C146" s="640" t="s">
        <v>550</v>
      </c>
      <c r="D146" s="640"/>
      <c r="E146" s="596" t="s">
        <v>887</v>
      </c>
      <c r="F146" s="595" t="s">
        <v>886</v>
      </c>
      <c r="H146" s="642">
        <v>38490</v>
      </c>
      <c r="I146" s="642"/>
      <c r="L146" s="593" t="s">
        <v>859</v>
      </c>
      <c r="M146" s="592">
        <v>17130</v>
      </c>
    </row>
    <row r="147" spans="1:14" ht="0.75" customHeight="1"/>
    <row r="148" spans="1:14" ht="3.75" customHeight="1"/>
    <row r="149" spans="1:14" ht="16.5" customHeight="1">
      <c r="A149" s="640" t="s">
        <v>885</v>
      </c>
      <c r="B149" s="640"/>
      <c r="C149" s="640" t="s">
        <v>884</v>
      </c>
      <c r="D149" s="640"/>
      <c r="E149" s="596" t="s">
        <v>883</v>
      </c>
      <c r="F149" s="595" t="s">
        <v>882</v>
      </c>
      <c r="K149" s="592">
        <v>20997</v>
      </c>
      <c r="L149" s="593" t="s">
        <v>859</v>
      </c>
      <c r="M149" s="592">
        <v>38127</v>
      </c>
      <c r="N149" s="607">
        <f>K149</f>
        <v>20997</v>
      </c>
    </row>
    <row r="150" spans="1:14" ht="0.75" customHeight="1"/>
    <row r="151" spans="1:14" ht="3.75" customHeight="1"/>
    <row r="152" spans="1:14" ht="12" customHeight="1">
      <c r="F152" s="594" t="s">
        <v>861</v>
      </c>
      <c r="H152" s="642">
        <v>76759</v>
      </c>
      <c r="I152" s="642"/>
      <c r="K152" s="592">
        <v>30612</v>
      </c>
      <c r="M152" s="592">
        <v>46147</v>
      </c>
    </row>
    <row r="153" spans="1:14" ht="7.5" customHeight="1"/>
    <row r="154" spans="1:14" ht="15.75" customHeight="1">
      <c r="F154" s="594" t="s">
        <v>860</v>
      </c>
      <c r="H154" s="642">
        <v>187213</v>
      </c>
      <c r="I154" s="642"/>
      <c r="K154" s="592">
        <v>225340</v>
      </c>
      <c r="L154" s="593" t="s">
        <v>859</v>
      </c>
      <c r="M154" s="592">
        <v>38127</v>
      </c>
    </row>
    <row r="155" spans="1:14" ht="3.75" customHeight="1"/>
    <row r="156" spans="1:14" ht="16.5" customHeight="1">
      <c r="A156" s="640" t="s">
        <v>864</v>
      </c>
      <c r="B156" s="640"/>
      <c r="C156" s="640" t="s">
        <v>881</v>
      </c>
      <c r="D156" s="640"/>
      <c r="E156" s="596" t="s">
        <v>880</v>
      </c>
      <c r="F156" s="595" t="s">
        <v>879</v>
      </c>
      <c r="K156" s="592">
        <v>22766</v>
      </c>
      <c r="L156" s="593" t="s">
        <v>859</v>
      </c>
      <c r="M156" s="592">
        <v>60893</v>
      </c>
    </row>
    <row r="157" spans="1:14" ht="0.75" customHeight="1"/>
    <row r="158" spans="1:14" ht="3.75" customHeight="1"/>
    <row r="159" spans="1:14" ht="16.5" customHeight="1">
      <c r="A159" s="640" t="s">
        <v>864</v>
      </c>
      <c r="B159" s="640"/>
      <c r="C159" s="640" t="s">
        <v>874</v>
      </c>
      <c r="D159" s="640"/>
      <c r="E159" s="596" t="s">
        <v>873</v>
      </c>
      <c r="F159" s="595" t="s">
        <v>878</v>
      </c>
      <c r="K159" s="592">
        <v>28</v>
      </c>
      <c r="L159" s="593" t="s">
        <v>859</v>
      </c>
      <c r="M159" s="592">
        <v>60921</v>
      </c>
    </row>
    <row r="160" spans="1:14" ht="0.75" customHeight="1"/>
    <row r="161" spans="1:14" ht="3.75" customHeight="1"/>
    <row r="162" spans="1:14" ht="16.5" customHeight="1">
      <c r="A162" s="640" t="s">
        <v>864</v>
      </c>
      <c r="B162" s="640"/>
      <c r="C162" s="640" t="s">
        <v>874</v>
      </c>
      <c r="D162" s="640"/>
      <c r="E162" s="596" t="s">
        <v>873</v>
      </c>
      <c r="F162" s="595" t="s">
        <v>877</v>
      </c>
      <c r="K162" s="592">
        <v>264</v>
      </c>
      <c r="L162" s="593" t="s">
        <v>859</v>
      </c>
      <c r="M162" s="592">
        <v>61185</v>
      </c>
    </row>
    <row r="163" spans="1:14" ht="0.75" customHeight="1"/>
    <row r="164" spans="1:14" ht="3.75" customHeight="1"/>
    <row r="165" spans="1:14" ht="16.5" customHeight="1">
      <c r="A165" s="640" t="s">
        <v>864</v>
      </c>
      <c r="B165" s="640"/>
      <c r="C165" s="640" t="s">
        <v>874</v>
      </c>
      <c r="D165" s="640"/>
      <c r="E165" s="596" t="s">
        <v>873</v>
      </c>
      <c r="F165" s="595" t="s">
        <v>876</v>
      </c>
      <c r="K165" s="592">
        <v>18</v>
      </c>
      <c r="L165" s="593" t="s">
        <v>859</v>
      </c>
      <c r="M165" s="592">
        <v>61203</v>
      </c>
    </row>
    <row r="166" spans="1:14" ht="0.75" customHeight="1"/>
    <row r="167" spans="1:14" ht="3.75" customHeight="1"/>
    <row r="168" spans="1:14" ht="16.5" customHeight="1">
      <c r="A168" s="640" t="s">
        <v>864</v>
      </c>
      <c r="B168" s="640"/>
      <c r="C168" s="640" t="s">
        <v>874</v>
      </c>
      <c r="D168" s="640"/>
      <c r="E168" s="596" t="s">
        <v>873</v>
      </c>
      <c r="F168" s="595" t="s">
        <v>875</v>
      </c>
      <c r="K168" s="592">
        <v>10</v>
      </c>
      <c r="L168" s="593" t="s">
        <v>859</v>
      </c>
      <c r="M168" s="592">
        <v>61213</v>
      </c>
    </row>
    <row r="169" spans="1:14" ht="0.75" customHeight="1"/>
    <row r="170" spans="1:14" ht="3.75" customHeight="1"/>
    <row r="171" spans="1:14" ht="16.5" customHeight="1">
      <c r="A171" s="640" t="s">
        <v>864</v>
      </c>
      <c r="B171" s="640"/>
      <c r="C171" s="640" t="s">
        <v>874</v>
      </c>
      <c r="D171" s="640"/>
      <c r="E171" s="596" t="s">
        <v>873</v>
      </c>
      <c r="F171" s="595" t="s">
        <v>872</v>
      </c>
      <c r="K171" s="592">
        <v>10</v>
      </c>
      <c r="L171" s="593" t="s">
        <v>859</v>
      </c>
      <c r="M171" s="592">
        <v>61223</v>
      </c>
    </row>
    <row r="172" spans="1:14" ht="0.75" customHeight="1"/>
    <row r="173" spans="1:14" ht="3.75" customHeight="1"/>
    <row r="174" spans="1:14" ht="15" customHeight="1">
      <c r="A174" s="640" t="s">
        <v>864</v>
      </c>
      <c r="B174" s="640"/>
      <c r="C174" s="640" t="s">
        <v>609</v>
      </c>
      <c r="D174" s="640"/>
      <c r="E174" s="596" t="s">
        <v>871</v>
      </c>
      <c r="F174" s="641" t="s">
        <v>870</v>
      </c>
      <c r="K174" s="592">
        <v>6855</v>
      </c>
      <c r="L174" s="593" t="s">
        <v>859</v>
      </c>
      <c r="M174" s="592">
        <v>68078</v>
      </c>
      <c r="N174" s="607">
        <f>K174</f>
        <v>6855</v>
      </c>
    </row>
    <row r="175" spans="1:14" ht="15" customHeight="1">
      <c r="F175" s="641"/>
    </row>
    <row r="176" spans="1:14" ht="0.75" customHeight="1"/>
    <row r="177" spans="1:15" ht="3.75" customHeight="1"/>
    <row r="178" spans="1:15" ht="16.5" customHeight="1">
      <c r="A178" s="640" t="s">
        <v>864</v>
      </c>
      <c r="B178" s="640"/>
      <c r="C178" s="640" t="s">
        <v>869</v>
      </c>
      <c r="D178" s="640"/>
      <c r="E178" s="596" t="s">
        <v>868</v>
      </c>
      <c r="F178" s="595" t="s">
        <v>867</v>
      </c>
      <c r="K178" s="592">
        <v>2545</v>
      </c>
      <c r="L178" s="593" t="s">
        <v>859</v>
      </c>
      <c r="M178" s="592">
        <v>70623</v>
      </c>
      <c r="N178" s="607">
        <f>K178</f>
        <v>2545</v>
      </c>
    </row>
    <row r="179" spans="1:15" ht="0.75" customHeight="1"/>
    <row r="180" spans="1:15" ht="3.75" customHeight="1"/>
    <row r="181" spans="1:15" ht="16.5" customHeight="1">
      <c r="A181" s="640" t="s">
        <v>864</v>
      </c>
      <c r="B181" s="640"/>
      <c r="C181" s="640" t="s">
        <v>627</v>
      </c>
      <c r="D181" s="640"/>
      <c r="E181" s="596" t="s">
        <v>866</v>
      </c>
      <c r="F181" s="595" t="s">
        <v>865</v>
      </c>
      <c r="H181" s="642">
        <v>38193</v>
      </c>
      <c r="I181" s="642"/>
      <c r="L181" s="593" t="s">
        <v>859</v>
      </c>
      <c r="M181" s="592">
        <v>32430</v>
      </c>
    </row>
    <row r="182" spans="1:15" ht="0.75" customHeight="1"/>
    <row r="183" spans="1:15" ht="3.75" customHeight="1"/>
    <row r="184" spans="1:15" s="575" customFormat="1" ht="16.5" customHeight="1">
      <c r="A184" s="643" t="s">
        <v>864</v>
      </c>
      <c r="B184" s="643"/>
      <c r="C184" s="643" t="s">
        <v>644</v>
      </c>
      <c r="D184" s="643"/>
      <c r="E184" s="602" t="s">
        <v>863</v>
      </c>
      <c r="F184" s="603" t="s">
        <v>862</v>
      </c>
      <c r="K184" s="604">
        <v>21233</v>
      </c>
      <c r="L184" s="605" t="s">
        <v>859</v>
      </c>
      <c r="M184" s="604">
        <v>53663</v>
      </c>
      <c r="N184" s="606">
        <f>K184</f>
        <v>21233</v>
      </c>
    </row>
    <row r="185" spans="1:15" ht="0.75" customHeight="1"/>
    <row r="186" spans="1:15" ht="3.75" customHeight="1"/>
    <row r="187" spans="1:15" ht="12" customHeight="1">
      <c r="F187" s="594" t="s">
        <v>861</v>
      </c>
      <c r="H187" s="642">
        <v>38193</v>
      </c>
      <c r="I187" s="642"/>
      <c r="K187" s="592">
        <v>53729</v>
      </c>
      <c r="M187" s="592">
        <v>15536</v>
      </c>
    </row>
    <row r="188" spans="1:15" ht="7.5" customHeight="1"/>
    <row r="189" spans="1:15" ht="15.75" customHeight="1">
      <c r="F189" s="594" t="s">
        <v>860</v>
      </c>
      <c r="H189" s="642">
        <v>225406</v>
      </c>
      <c r="I189" s="642"/>
      <c r="K189" s="592">
        <v>279069</v>
      </c>
      <c r="L189" s="593" t="s">
        <v>859</v>
      </c>
      <c r="M189" s="592">
        <v>53663</v>
      </c>
      <c r="N189" s="549">
        <f>SUM(N126:N184)</f>
        <v>56975</v>
      </c>
      <c r="O189" s="608">
        <f>M189-N189</f>
        <v>-3312</v>
      </c>
    </row>
    <row r="190" spans="1:15" ht="14.25">
      <c r="O190" s="609" t="s">
        <v>955</v>
      </c>
    </row>
    <row r="191" spans="1:15" ht="6" customHeight="1"/>
    <row r="192" spans="1:15" ht="13.5" customHeight="1">
      <c r="A192" s="644" t="s">
        <v>858</v>
      </c>
      <c r="B192" s="644"/>
      <c r="C192" s="644"/>
      <c r="D192" s="644"/>
      <c r="E192" s="644"/>
      <c r="F192" s="644"/>
      <c r="G192" s="644"/>
      <c r="H192" s="644"/>
    </row>
    <row r="193" spans="1:13" ht="20.25" customHeight="1">
      <c r="A193" s="645" t="s">
        <v>857</v>
      </c>
      <c r="B193" s="645"/>
      <c r="C193" s="645"/>
      <c r="D193" s="645"/>
      <c r="E193" s="645"/>
      <c r="F193" s="645"/>
      <c r="G193" s="645"/>
      <c r="H193" s="645"/>
      <c r="I193" s="645"/>
      <c r="J193" s="645"/>
      <c r="K193" s="645"/>
      <c r="L193" s="645"/>
      <c r="M193" s="645"/>
    </row>
  </sheetData>
  <mergeCells count="138">
    <mergeCell ref="H181:I181"/>
    <mergeCell ref="A184:B184"/>
    <mergeCell ref="C184:D184"/>
    <mergeCell ref="H187:I187"/>
    <mergeCell ref="H189:I189"/>
    <mergeCell ref="A192:H192"/>
    <mergeCell ref="A193:M193"/>
    <mergeCell ref="A171:B171"/>
    <mergeCell ref="C171:D171"/>
    <mergeCell ref="A174:B174"/>
    <mergeCell ref="C174:D174"/>
    <mergeCell ref="F174:F175"/>
    <mergeCell ref="A178:B178"/>
    <mergeCell ref="C178:D178"/>
    <mergeCell ref="A181:B181"/>
    <mergeCell ref="C181:D181"/>
    <mergeCell ref="A156:B156"/>
    <mergeCell ref="C156:D156"/>
    <mergeCell ref="A159:B159"/>
    <mergeCell ref="C159:D159"/>
    <mergeCell ref="A162:B162"/>
    <mergeCell ref="C162:D162"/>
    <mergeCell ref="A165:B165"/>
    <mergeCell ref="C165:D165"/>
    <mergeCell ref="A168:B168"/>
    <mergeCell ref="C168:D168"/>
    <mergeCell ref="A143:B143"/>
    <mergeCell ref="C143:D143"/>
    <mergeCell ref="A146:B146"/>
    <mergeCell ref="C146:D146"/>
    <mergeCell ref="H146:I146"/>
    <mergeCell ref="A149:B149"/>
    <mergeCell ref="C149:D149"/>
    <mergeCell ref="H152:I152"/>
    <mergeCell ref="H154:I154"/>
    <mergeCell ref="A134:M134"/>
    <mergeCell ref="B135:M135"/>
    <mergeCell ref="A137:D138"/>
    <mergeCell ref="E137:E141"/>
    <mergeCell ref="H137:M138"/>
    <mergeCell ref="F138:F139"/>
    <mergeCell ref="A140:B140"/>
    <mergeCell ref="C140:D140"/>
    <mergeCell ref="G140:I140"/>
    <mergeCell ref="A121:B121"/>
    <mergeCell ref="C121:D121"/>
    <mergeCell ref="A124:B124"/>
    <mergeCell ref="C124:D124"/>
    <mergeCell ref="A127:B127"/>
    <mergeCell ref="C127:D127"/>
    <mergeCell ref="F127:F128"/>
    <mergeCell ref="A130:M130"/>
    <mergeCell ref="A132:M132"/>
    <mergeCell ref="F104:F105"/>
    <mergeCell ref="A108:B108"/>
    <mergeCell ref="C108:D108"/>
    <mergeCell ref="A111:B111"/>
    <mergeCell ref="C111:D111"/>
    <mergeCell ref="H116:I116"/>
    <mergeCell ref="A118:B118"/>
    <mergeCell ref="C118:D118"/>
    <mergeCell ref="H118:I118"/>
    <mergeCell ref="A92:B92"/>
    <mergeCell ref="C92:D92"/>
    <mergeCell ref="A95:B95"/>
    <mergeCell ref="C95:D95"/>
    <mergeCell ref="A98:B98"/>
    <mergeCell ref="C98:D98"/>
    <mergeCell ref="A101:B101"/>
    <mergeCell ref="C101:D101"/>
    <mergeCell ref="A104:B104"/>
    <mergeCell ref="C104:D104"/>
    <mergeCell ref="A77:B77"/>
    <mergeCell ref="C77:D77"/>
    <mergeCell ref="A80:B80"/>
    <mergeCell ref="C80:D80"/>
    <mergeCell ref="A83:B83"/>
    <mergeCell ref="C83:D83"/>
    <mergeCell ref="A86:B86"/>
    <mergeCell ref="C86:D86"/>
    <mergeCell ref="A89:B89"/>
    <mergeCell ref="C89:D89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A55:B55"/>
    <mergeCell ref="C55:D55"/>
    <mergeCell ref="H55:I55"/>
    <mergeCell ref="A58:B58"/>
    <mergeCell ref="C58:D58"/>
    <mergeCell ref="H61:I61"/>
    <mergeCell ref="H63:I63"/>
    <mergeCell ref="A64:M64"/>
    <mergeCell ref="A66:M66"/>
    <mergeCell ref="A41:B41"/>
    <mergeCell ref="C41:D41"/>
    <mergeCell ref="H44:I44"/>
    <mergeCell ref="H46:I46"/>
    <mergeCell ref="A48:B48"/>
    <mergeCell ref="C48:D48"/>
    <mergeCell ref="F48:F49"/>
    <mergeCell ref="A52:B52"/>
    <mergeCell ref="C52:D52"/>
    <mergeCell ref="H28:I28"/>
    <mergeCell ref="A31:B31"/>
    <mergeCell ref="C31:D31"/>
    <mergeCell ref="H31:I31"/>
    <mergeCell ref="A34:B34"/>
    <mergeCell ref="C34:D34"/>
    <mergeCell ref="F34:F35"/>
    <mergeCell ref="A38:B38"/>
    <mergeCell ref="C38:D38"/>
    <mergeCell ref="A14:B14"/>
    <mergeCell ref="C14:D14"/>
    <mergeCell ref="A21:B21"/>
    <mergeCell ref="C21:D21"/>
    <mergeCell ref="F21:F22"/>
    <mergeCell ref="A25:B25"/>
    <mergeCell ref="C25:D25"/>
    <mergeCell ref="A28:B28"/>
    <mergeCell ref="C28:D28"/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</mergeCells>
  <phoneticPr fontId="10" type="noConversion"/>
  <pageMargins left="0.78749999999999998" right="0.78749999999999998" top="0.59097222222222223" bottom="0.19722222222222222" header="0" footer="0"/>
  <pageSetup paperSize="9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650A8-0FC1-427F-8E3D-AF08CF820819}">
  <sheetPr>
    <outlinePr summaryBelow="0"/>
    <pageSetUpPr autoPageBreaks="0"/>
  </sheetPr>
  <dimension ref="A1:O158"/>
  <sheetViews>
    <sheetView showGridLines="0" topLeftCell="A108" workbookViewId="0">
      <selection activeCell="O154" sqref="O154"/>
    </sheetView>
  </sheetViews>
  <sheetFormatPr defaultRowHeight="12.75" customHeight="1"/>
  <cols>
    <col min="1" max="1" width="1.140625" style="549" customWidth="1"/>
    <col min="2" max="2" width="3.42578125" style="549" customWidth="1"/>
    <col min="3" max="3" width="3.5703125" style="549" customWidth="1"/>
    <col min="4" max="4" width="1" style="549" customWidth="1"/>
    <col min="5" max="5" width="8.7109375" style="549" customWidth="1"/>
    <col min="6" max="6" width="75.5703125" style="549" customWidth="1"/>
    <col min="7" max="7" width="1" style="549" customWidth="1"/>
    <col min="8" max="8" width="3.85546875" style="549" customWidth="1"/>
    <col min="9" max="9" width="8.140625" style="549" customWidth="1"/>
    <col min="10" max="10" width="1" style="549" customWidth="1"/>
    <col min="11" max="11" width="12" style="549" customWidth="1"/>
    <col min="12" max="12" width="6.28515625" style="549" customWidth="1"/>
    <col min="13" max="13" width="11.7109375" style="549" customWidth="1"/>
    <col min="14" max="14" width="9.42578125" style="457" customWidth="1"/>
    <col min="15" max="15" width="11.140625" style="549" customWidth="1"/>
    <col min="16" max="256" width="6.85546875" style="549" customWidth="1"/>
    <col min="257" max="16384" width="9.140625" style="549"/>
  </cols>
  <sheetData>
    <row r="1" spans="1:13" ht="20.25" customHeight="1">
      <c r="A1" s="635" t="s">
        <v>902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</row>
    <row r="2" spans="1:13" ht="6" customHeight="1"/>
    <row r="3" spans="1:13" ht="20.25" customHeight="1">
      <c r="A3" s="635" t="s">
        <v>901</v>
      </c>
      <c r="B3" s="635"/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</row>
    <row r="4" spans="1:13" ht="6" customHeight="1"/>
    <row r="5" spans="1:13" ht="24.75" customHeight="1">
      <c r="A5" s="635" t="s">
        <v>900</v>
      </c>
      <c r="B5" s="635"/>
      <c r="C5" s="635"/>
      <c r="D5" s="635"/>
      <c r="E5" s="635"/>
      <c r="F5" s="635"/>
      <c r="G5" s="635"/>
      <c r="H5" s="635"/>
      <c r="I5" s="635"/>
      <c r="J5" s="635"/>
      <c r="K5" s="635"/>
      <c r="L5" s="635"/>
      <c r="M5" s="635"/>
    </row>
    <row r="6" spans="1:13" ht="12" customHeight="1">
      <c r="B6" s="636" t="s">
        <v>899</v>
      </c>
      <c r="C6" s="636"/>
      <c r="D6" s="636"/>
      <c r="E6" s="636"/>
      <c r="F6" s="636"/>
      <c r="G6" s="636"/>
      <c r="H6" s="636"/>
      <c r="I6" s="636"/>
      <c r="J6" s="636"/>
      <c r="K6" s="636"/>
      <c r="L6" s="636"/>
      <c r="M6" s="636"/>
    </row>
    <row r="7" spans="1:13" ht="6.75" customHeight="1"/>
    <row r="8" spans="1:13" ht="12" customHeight="1">
      <c r="A8" s="637" t="s">
        <v>898</v>
      </c>
      <c r="B8" s="637"/>
      <c r="C8" s="637"/>
      <c r="D8" s="637"/>
      <c r="E8" s="638" t="s">
        <v>897</v>
      </c>
      <c r="H8" s="638" t="s">
        <v>896</v>
      </c>
      <c r="I8" s="638"/>
      <c r="J8" s="638"/>
      <c r="K8" s="638"/>
      <c r="L8" s="638"/>
      <c r="M8" s="638"/>
    </row>
    <row r="9" spans="1:13" ht="12.75" hidden="1" customHeight="1">
      <c r="A9" s="637"/>
      <c r="B9" s="637"/>
      <c r="C9" s="637"/>
      <c r="D9" s="637"/>
      <c r="E9" s="638"/>
      <c r="F9" s="638" t="s">
        <v>895</v>
      </c>
      <c r="H9" s="638"/>
      <c r="I9" s="638"/>
      <c r="J9" s="638"/>
      <c r="K9" s="638"/>
      <c r="L9" s="638"/>
      <c r="M9" s="638"/>
    </row>
    <row r="10" spans="1:13" ht="13.5" customHeight="1">
      <c r="E10" s="638"/>
      <c r="F10" s="638"/>
    </row>
    <row r="11" spans="1:13" ht="12" customHeight="1">
      <c r="A11" s="638" t="s">
        <v>894</v>
      </c>
      <c r="B11" s="638"/>
      <c r="C11" s="638" t="s">
        <v>893</v>
      </c>
      <c r="D11" s="638"/>
      <c r="E11" s="638"/>
      <c r="G11" s="638" t="s">
        <v>892</v>
      </c>
      <c r="H11" s="638"/>
      <c r="I11" s="638"/>
      <c r="K11" s="597" t="s">
        <v>891</v>
      </c>
      <c r="L11" s="597" t="s">
        <v>890</v>
      </c>
      <c r="M11" s="597" t="s">
        <v>81</v>
      </c>
    </row>
    <row r="12" spans="1:13" ht="6" customHeight="1">
      <c r="E12" s="638"/>
    </row>
    <row r="13" spans="1:13" ht="3.75" customHeight="1"/>
    <row r="14" spans="1:13" ht="16.5" customHeight="1">
      <c r="A14" s="639" t="s">
        <v>911</v>
      </c>
      <c r="B14" s="639"/>
      <c r="C14" s="639" t="s">
        <v>881</v>
      </c>
      <c r="D14" s="639"/>
      <c r="E14" s="601" t="s">
        <v>953</v>
      </c>
      <c r="F14" s="600" t="s">
        <v>952</v>
      </c>
      <c r="K14" s="598">
        <v>566542</v>
      </c>
      <c r="L14" s="599" t="s">
        <v>859</v>
      </c>
      <c r="M14" s="598">
        <v>566542</v>
      </c>
    </row>
    <row r="15" spans="1:13" ht="0.75" customHeight="1"/>
    <row r="16" spans="1:13" ht="2.25" customHeight="1"/>
    <row r="17" spans="1:13" ht="12" customHeight="1">
      <c r="F17" s="594" t="s">
        <v>861</v>
      </c>
    </row>
    <row r="18" spans="1:13" ht="9" customHeight="1"/>
    <row r="19" spans="1:13" ht="16.5" customHeight="1">
      <c r="F19" s="594" t="s">
        <v>860</v>
      </c>
      <c r="K19" s="592">
        <v>566542</v>
      </c>
      <c r="L19" s="593" t="s">
        <v>859</v>
      </c>
      <c r="M19" s="592">
        <v>566542</v>
      </c>
    </row>
    <row r="20" spans="1:13" ht="3.75" customHeight="1"/>
    <row r="21" spans="1:13" ht="15" customHeight="1">
      <c r="A21" s="640" t="s">
        <v>911</v>
      </c>
      <c r="B21" s="640"/>
      <c r="C21" s="640" t="s">
        <v>881</v>
      </c>
      <c r="D21" s="640"/>
      <c r="E21" s="596" t="s">
        <v>951</v>
      </c>
      <c r="F21" s="641" t="s">
        <v>980</v>
      </c>
      <c r="K21" s="592">
        <v>7400</v>
      </c>
      <c r="L21" s="593" t="s">
        <v>859</v>
      </c>
      <c r="M21" s="592">
        <v>573942</v>
      </c>
    </row>
    <row r="22" spans="1:13" ht="15" customHeight="1">
      <c r="F22" s="641"/>
    </row>
    <row r="23" spans="1:13" ht="0.75" customHeight="1"/>
    <row r="24" spans="1:13" ht="3.75" customHeight="1"/>
    <row r="25" spans="1:13" ht="16.5" customHeight="1">
      <c r="A25" s="640" t="s">
        <v>911</v>
      </c>
      <c r="B25" s="640"/>
      <c r="C25" s="640" t="s">
        <v>914</v>
      </c>
      <c r="D25" s="640"/>
      <c r="E25" s="596" t="s">
        <v>979</v>
      </c>
      <c r="F25" s="595" t="s">
        <v>978</v>
      </c>
      <c r="K25" s="592">
        <v>2170</v>
      </c>
      <c r="L25" s="593" t="s">
        <v>859</v>
      </c>
      <c r="M25" s="592">
        <v>576112</v>
      </c>
    </row>
    <row r="26" spans="1:13" ht="0.75" customHeight="1"/>
    <row r="27" spans="1:13" ht="3.75" customHeight="1"/>
    <row r="28" spans="1:13" ht="16.5" customHeight="1">
      <c r="A28" s="640" t="s">
        <v>911</v>
      </c>
      <c r="B28" s="640"/>
      <c r="C28" s="640" t="s">
        <v>946</v>
      </c>
      <c r="D28" s="640"/>
      <c r="E28" s="596" t="s">
        <v>949</v>
      </c>
      <c r="F28" s="595" t="s">
        <v>948</v>
      </c>
      <c r="K28" s="592">
        <v>12932</v>
      </c>
      <c r="L28" s="593" t="s">
        <v>859</v>
      </c>
      <c r="M28" s="592">
        <v>589044</v>
      </c>
    </row>
    <row r="29" spans="1:13" ht="0.75" customHeight="1"/>
    <row r="30" spans="1:13" ht="3.75" customHeight="1"/>
    <row r="31" spans="1:13" ht="16.5" customHeight="1">
      <c r="A31" s="640" t="s">
        <v>911</v>
      </c>
      <c r="B31" s="640"/>
      <c r="C31" s="640" t="s">
        <v>946</v>
      </c>
      <c r="D31" s="640"/>
      <c r="E31" s="596" t="s">
        <v>945</v>
      </c>
      <c r="F31" s="595" t="s">
        <v>977</v>
      </c>
      <c r="H31" s="642">
        <v>195720</v>
      </c>
      <c r="I31" s="642"/>
      <c r="L31" s="593" t="s">
        <v>859</v>
      </c>
      <c r="M31" s="592">
        <v>393324</v>
      </c>
    </row>
    <row r="32" spans="1:13" ht="0.75" customHeight="1"/>
    <row r="33" spans="1:13" ht="3.75" customHeight="1"/>
    <row r="34" spans="1:13" ht="16.5" customHeight="1">
      <c r="A34" s="640" t="s">
        <v>911</v>
      </c>
      <c r="B34" s="640"/>
      <c r="C34" s="640" t="s">
        <v>946</v>
      </c>
      <c r="D34" s="640"/>
      <c r="E34" s="596" t="s">
        <v>945</v>
      </c>
      <c r="F34" s="595" t="s">
        <v>976</v>
      </c>
      <c r="H34" s="642">
        <v>195720</v>
      </c>
      <c r="I34" s="642"/>
      <c r="L34" s="593" t="s">
        <v>859</v>
      </c>
      <c r="M34" s="592">
        <v>197604</v>
      </c>
    </row>
    <row r="35" spans="1:13" ht="0.75" customHeight="1"/>
    <row r="36" spans="1:13" ht="3.75" customHeight="1"/>
    <row r="37" spans="1:13" ht="15" customHeight="1">
      <c r="A37" s="640" t="s">
        <v>911</v>
      </c>
      <c r="B37" s="640"/>
      <c r="C37" s="640" t="s">
        <v>535</v>
      </c>
      <c r="D37" s="640"/>
      <c r="E37" s="596" t="s">
        <v>943</v>
      </c>
      <c r="F37" s="641" t="s">
        <v>975</v>
      </c>
      <c r="K37" s="592">
        <v>5087</v>
      </c>
      <c r="L37" s="593" t="s">
        <v>859</v>
      </c>
      <c r="M37" s="592">
        <v>202691</v>
      </c>
    </row>
    <row r="38" spans="1:13" ht="15" customHeight="1">
      <c r="F38" s="641"/>
    </row>
    <row r="39" spans="1:13" ht="0.75" customHeight="1"/>
    <row r="40" spans="1:13" ht="3.75" customHeight="1"/>
    <row r="41" spans="1:13" ht="15" customHeight="1">
      <c r="A41" s="640" t="s">
        <v>911</v>
      </c>
      <c r="B41" s="640"/>
      <c r="C41" s="640" t="s">
        <v>609</v>
      </c>
      <c r="D41" s="640"/>
      <c r="E41" s="596" t="s">
        <v>974</v>
      </c>
      <c r="F41" s="641" t="s">
        <v>973</v>
      </c>
      <c r="H41" s="642">
        <v>1652</v>
      </c>
      <c r="I41" s="642"/>
      <c r="L41" s="593" t="s">
        <v>859</v>
      </c>
      <c r="M41" s="592">
        <v>201039</v>
      </c>
    </row>
    <row r="42" spans="1:13" ht="15" customHeight="1">
      <c r="F42" s="641"/>
    </row>
    <row r="43" spans="1:13" ht="0.75" customHeight="1"/>
    <row r="44" spans="1:13" ht="3.75" customHeight="1"/>
    <row r="45" spans="1:13" ht="16.5" customHeight="1">
      <c r="A45" s="640" t="s">
        <v>911</v>
      </c>
      <c r="B45" s="640"/>
      <c r="C45" s="640" t="s">
        <v>613</v>
      </c>
      <c r="D45" s="640"/>
      <c r="E45" s="596" t="s">
        <v>941</v>
      </c>
      <c r="F45" s="595" t="s">
        <v>940</v>
      </c>
      <c r="K45" s="592">
        <v>174891</v>
      </c>
      <c r="L45" s="593" t="s">
        <v>859</v>
      </c>
      <c r="M45" s="592">
        <v>375930</v>
      </c>
    </row>
    <row r="46" spans="1:13" ht="0.75" customHeight="1"/>
    <row r="47" spans="1:13" ht="3.75" customHeight="1"/>
    <row r="48" spans="1:13" ht="16.5" customHeight="1">
      <c r="A48" s="640" t="s">
        <v>911</v>
      </c>
      <c r="B48" s="640"/>
      <c r="C48" s="640" t="s">
        <v>613</v>
      </c>
      <c r="D48" s="640"/>
      <c r="E48" s="596" t="s">
        <v>939</v>
      </c>
      <c r="F48" s="595" t="s">
        <v>972</v>
      </c>
      <c r="K48" s="592">
        <v>3536</v>
      </c>
      <c r="L48" s="593" t="s">
        <v>859</v>
      </c>
      <c r="M48" s="592">
        <v>379466</v>
      </c>
    </row>
    <row r="49" spans="1:13" ht="0.75" customHeight="1"/>
    <row r="50" spans="1:13" ht="3.75" customHeight="1"/>
    <row r="51" spans="1:13" ht="12" customHeight="1">
      <c r="F51" s="594" t="s">
        <v>861</v>
      </c>
      <c r="H51" s="642">
        <v>393092</v>
      </c>
      <c r="I51" s="642"/>
      <c r="K51" s="592">
        <v>206016</v>
      </c>
      <c r="M51" s="592">
        <v>187076</v>
      </c>
    </row>
    <row r="52" spans="1:13" ht="7.5" customHeight="1"/>
    <row r="53" spans="1:13" ht="15.75" customHeight="1">
      <c r="F53" s="594" t="s">
        <v>860</v>
      </c>
      <c r="H53" s="642">
        <v>393092</v>
      </c>
      <c r="I53" s="642"/>
      <c r="K53" s="592">
        <v>772558</v>
      </c>
      <c r="L53" s="593" t="s">
        <v>859</v>
      </c>
      <c r="M53" s="592">
        <v>379466</v>
      </c>
    </row>
    <row r="54" spans="1:13" ht="3.75" customHeight="1"/>
    <row r="55" spans="1:13" ht="16.5" customHeight="1">
      <c r="A55" s="640" t="s">
        <v>881</v>
      </c>
      <c r="B55" s="640"/>
      <c r="C55" s="640" t="s">
        <v>577</v>
      </c>
      <c r="D55" s="640"/>
      <c r="E55" s="596" t="s">
        <v>971</v>
      </c>
      <c r="F55" s="595" t="s">
        <v>970</v>
      </c>
      <c r="H55" s="642">
        <v>1428</v>
      </c>
      <c r="I55" s="642"/>
      <c r="L55" s="593" t="s">
        <v>859</v>
      </c>
      <c r="M55" s="592">
        <v>378038</v>
      </c>
    </row>
    <row r="56" spans="1:13" ht="0.75" customHeight="1"/>
    <row r="57" spans="1:13" ht="3.75" customHeight="1"/>
    <row r="58" spans="1:13" ht="16.5" customHeight="1">
      <c r="A58" s="640" t="s">
        <v>881</v>
      </c>
      <c r="B58" s="640"/>
      <c r="C58" s="640" t="s">
        <v>542</v>
      </c>
      <c r="D58" s="640"/>
      <c r="E58" s="596" t="s">
        <v>969</v>
      </c>
      <c r="F58" s="595" t="s">
        <v>968</v>
      </c>
      <c r="H58" s="642">
        <v>2374</v>
      </c>
      <c r="I58" s="642"/>
      <c r="L58" s="593" t="s">
        <v>859</v>
      </c>
      <c r="M58" s="592">
        <v>375664</v>
      </c>
    </row>
    <row r="59" spans="1:13" ht="0.75" customHeight="1"/>
    <row r="60" spans="1:13" ht="3.75" customHeight="1"/>
    <row r="61" spans="1:13" ht="15" customHeight="1">
      <c r="A61" s="640" t="s">
        <v>881</v>
      </c>
      <c r="B61" s="640"/>
      <c r="C61" s="640" t="s">
        <v>542</v>
      </c>
      <c r="D61" s="640"/>
      <c r="E61" s="596" t="s">
        <v>937</v>
      </c>
      <c r="F61" s="641" t="s">
        <v>967</v>
      </c>
      <c r="K61" s="592">
        <v>7253</v>
      </c>
      <c r="L61" s="593" t="s">
        <v>859</v>
      </c>
      <c r="M61" s="592">
        <v>382917</v>
      </c>
    </row>
    <row r="62" spans="1:13" ht="15" customHeight="1">
      <c r="F62" s="641"/>
    </row>
    <row r="63" spans="1:13" ht="0.75" customHeight="1"/>
    <row r="64" spans="1:13" ht="20.25" customHeight="1">
      <c r="A64" s="635" t="s">
        <v>902</v>
      </c>
      <c r="B64" s="635"/>
      <c r="C64" s="635"/>
      <c r="D64" s="635"/>
      <c r="E64" s="635"/>
      <c r="F64" s="635"/>
      <c r="G64" s="635"/>
      <c r="H64" s="635"/>
      <c r="I64" s="635"/>
      <c r="J64" s="635"/>
      <c r="K64" s="635"/>
      <c r="L64" s="635"/>
      <c r="M64" s="635"/>
    </row>
    <row r="65" spans="1:13" ht="6" customHeight="1"/>
    <row r="66" spans="1:13" ht="20.25" customHeight="1">
      <c r="A66" s="635" t="s">
        <v>901</v>
      </c>
      <c r="B66" s="635"/>
      <c r="C66" s="635"/>
      <c r="D66" s="635"/>
      <c r="E66" s="635"/>
      <c r="F66" s="635"/>
      <c r="G66" s="635"/>
      <c r="H66" s="635"/>
      <c r="I66" s="635"/>
      <c r="J66" s="635"/>
      <c r="K66" s="635"/>
      <c r="L66" s="635"/>
      <c r="M66" s="635"/>
    </row>
    <row r="67" spans="1:13" ht="6" customHeight="1"/>
    <row r="68" spans="1:13" ht="24.75" customHeight="1">
      <c r="A68" s="635" t="s">
        <v>900</v>
      </c>
      <c r="B68" s="635"/>
      <c r="C68" s="635"/>
      <c r="D68" s="635"/>
      <c r="E68" s="635"/>
      <c r="F68" s="635"/>
      <c r="G68" s="635"/>
      <c r="H68" s="635"/>
      <c r="I68" s="635"/>
      <c r="J68" s="635"/>
      <c r="K68" s="635"/>
      <c r="L68" s="635"/>
      <c r="M68" s="635"/>
    </row>
    <row r="69" spans="1:13" ht="12" customHeight="1">
      <c r="B69" s="636" t="s">
        <v>899</v>
      </c>
      <c r="C69" s="636"/>
      <c r="D69" s="636"/>
      <c r="E69" s="636"/>
      <c r="F69" s="636"/>
      <c r="G69" s="636"/>
      <c r="H69" s="636"/>
      <c r="I69" s="636"/>
      <c r="J69" s="636"/>
      <c r="K69" s="636"/>
      <c r="L69" s="636"/>
      <c r="M69" s="636"/>
    </row>
    <row r="70" spans="1:13" ht="6.75" customHeight="1"/>
    <row r="71" spans="1:13" ht="12" customHeight="1">
      <c r="A71" s="637" t="s">
        <v>898</v>
      </c>
      <c r="B71" s="637"/>
      <c r="C71" s="637"/>
      <c r="D71" s="637"/>
      <c r="E71" s="638" t="s">
        <v>897</v>
      </c>
      <c r="H71" s="638" t="s">
        <v>896</v>
      </c>
      <c r="I71" s="638"/>
      <c r="J71" s="638"/>
      <c r="K71" s="638"/>
      <c r="L71" s="638"/>
      <c r="M71" s="638"/>
    </row>
    <row r="72" spans="1:13" ht="12.75" hidden="1" customHeight="1">
      <c r="A72" s="637"/>
      <c r="B72" s="637"/>
      <c r="C72" s="637"/>
      <c r="D72" s="637"/>
      <c r="E72" s="638"/>
      <c r="F72" s="638" t="s">
        <v>895</v>
      </c>
      <c r="H72" s="638"/>
      <c r="I72" s="638"/>
      <c r="J72" s="638"/>
      <c r="K72" s="638"/>
      <c r="L72" s="638"/>
      <c r="M72" s="638"/>
    </row>
    <row r="73" spans="1:13" ht="13.5" customHeight="1">
      <c r="E73" s="638"/>
      <c r="F73" s="638"/>
    </row>
    <row r="74" spans="1:13" ht="12" customHeight="1">
      <c r="A74" s="638" t="s">
        <v>894</v>
      </c>
      <c r="B74" s="638"/>
      <c r="C74" s="638" t="s">
        <v>893</v>
      </c>
      <c r="D74" s="638"/>
      <c r="E74" s="638"/>
      <c r="G74" s="638" t="s">
        <v>892</v>
      </c>
      <c r="H74" s="638"/>
      <c r="I74" s="638"/>
      <c r="K74" s="597" t="s">
        <v>891</v>
      </c>
      <c r="L74" s="597" t="s">
        <v>890</v>
      </c>
      <c r="M74" s="597" t="s">
        <v>81</v>
      </c>
    </row>
    <row r="75" spans="1:13" ht="6" customHeight="1">
      <c r="E75" s="638"/>
    </row>
    <row r="76" spans="1:13" ht="3.75" customHeight="1"/>
    <row r="77" spans="1:13" ht="16.5" customHeight="1">
      <c r="A77" s="640" t="s">
        <v>881</v>
      </c>
      <c r="B77" s="640"/>
      <c r="C77" s="640" t="s">
        <v>617</v>
      </c>
      <c r="D77" s="640"/>
      <c r="E77" s="596" t="s">
        <v>935</v>
      </c>
      <c r="F77" s="595" t="s">
        <v>966</v>
      </c>
      <c r="K77" s="592">
        <v>3536</v>
      </c>
      <c r="L77" s="593" t="s">
        <v>859</v>
      </c>
      <c r="M77" s="592">
        <v>386453</v>
      </c>
    </row>
    <row r="78" spans="1:13" ht="0.75" customHeight="1"/>
    <row r="79" spans="1:13" ht="3.75" customHeight="1"/>
    <row r="80" spans="1:13" ht="16.5" customHeight="1">
      <c r="A80" s="640" t="s">
        <v>881</v>
      </c>
      <c r="B80" s="640"/>
      <c r="C80" s="640" t="s">
        <v>869</v>
      </c>
      <c r="D80" s="640"/>
      <c r="E80" s="596" t="s">
        <v>933</v>
      </c>
      <c r="F80" s="595" t="s">
        <v>965</v>
      </c>
      <c r="H80" s="642">
        <v>192519</v>
      </c>
      <c r="I80" s="642"/>
      <c r="L80" s="593" t="s">
        <v>859</v>
      </c>
      <c r="M80" s="592">
        <v>193934</v>
      </c>
    </row>
    <row r="81" spans="1:13" ht="0.75" customHeight="1"/>
    <row r="82" spans="1:13" ht="3.75" customHeight="1"/>
    <row r="83" spans="1:13" ht="16.5" customHeight="1">
      <c r="A83" s="640" t="s">
        <v>881</v>
      </c>
      <c r="B83" s="640"/>
      <c r="C83" s="640" t="s">
        <v>627</v>
      </c>
      <c r="D83" s="640"/>
      <c r="E83" s="596" t="s">
        <v>931</v>
      </c>
      <c r="F83" s="595" t="s">
        <v>930</v>
      </c>
      <c r="K83" s="592">
        <v>186989</v>
      </c>
      <c r="L83" s="593" t="s">
        <v>859</v>
      </c>
      <c r="M83" s="592">
        <v>380923</v>
      </c>
    </row>
    <row r="84" spans="1:13" ht="0.75" customHeight="1"/>
    <row r="85" spans="1:13" ht="3.75" customHeight="1"/>
    <row r="86" spans="1:13" ht="12" customHeight="1">
      <c r="F86" s="594" t="s">
        <v>861</v>
      </c>
      <c r="H86" s="642">
        <v>196321</v>
      </c>
      <c r="I86" s="642"/>
      <c r="K86" s="592">
        <v>197778</v>
      </c>
      <c r="M86" s="592">
        <v>1457</v>
      </c>
    </row>
    <row r="87" spans="1:13" ht="7.5" customHeight="1"/>
    <row r="88" spans="1:13" ht="15.75" customHeight="1">
      <c r="F88" s="594" t="s">
        <v>860</v>
      </c>
      <c r="H88" s="642">
        <v>589413</v>
      </c>
      <c r="I88" s="642"/>
      <c r="K88" s="592">
        <v>970336</v>
      </c>
      <c r="L88" s="593" t="s">
        <v>859</v>
      </c>
      <c r="M88" s="592">
        <v>380923</v>
      </c>
    </row>
    <row r="89" spans="1:13" ht="3.75" customHeight="1"/>
    <row r="90" spans="1:13" ht="15" customHeight="1">
      <c r="A90" s="640" t="s">
        <v>914</v>
      </c>
      <c r="B90" s="640"/>
      <c r="C90" s="640" t="s">
        <v>869</v>
      </c>
      <c r="D90" s="640"/>
      <c r="E90" s="596" t="s">
        <v>918</v>
      </c>
      <c r="F90" s="641" t="s">
        <v>964</v>
      </c>
      <c r="K90" s="592">
        <v>7253</v>
      </c>
      <c r="L90" s="593" t="s">
        <v>859</v>
      </c>
      <c r="M90" s="592">
        <v>388176</v>
      </c>
    </row>
    <row r="91" spans="1:13" ht="15" customHeight="1">
      <c r="F91" s="641"/>
    </row>
    <row r="92" spans="1:13" ht="0.75" customHeight="1"/>
    <row r="93" spans="1:13" ht="3.75" customHeight="1"/>
    <row r="94" spans="1:13" ht="16.5" customHeight="1">
      <c r="A94" s="640" t="s">
        <v>914</v>
      </c>
      <c r="B94" s="640"/>
      <c r="C94" s="640" t="s">
        <v>550</v>
      </c>
      <c r="D94" s="640"/>
      <c r="E94" s="596" t="s">
        <v>916</v>
      </c>
      <c r="F94" s="595" t="s">
        <v>963</v>
      </c>
      <c r="K94" s="592">
        <v>3536</v>
      </c>
      <c r="L94" s="593" t="s">
        <v>859</v>
      </c>
      <c r="M94" s="592">
        <v>391712</v>
      </c>
    </row>
    <row r="95" spans="1:13" ht="0.75" customHeight="1"/>
    <row r="96" spans="1:13" ht="3.75" customHeight="1"/>
    <row r="97" spans="1:14" ht="16.5" customHeight="1">
      <c r="A97" s="640" t="s">
        <v>914</v>
      </c>
      <c r="B97" s="640"/>
      <c r="C97" s="640" t="s">
        <v>559</v>
      </c>
      <c r="D97" s="640"/>
      <c r="E97" s="596" t="s">
        <v>913</v>
      </c>
      <c r="F97" s="595" t="s">
        <v>912</v>
      </c>
      <c r="K97" s="592">
        <v>174961</v>
      </c>
      <c r="L97" s="593" t="s">
        <v>859</v>
      </c>
      <c r="M97" s="592">
        <v>566673</v>
      </c>
    </row>
    <row r="98" spans="1:14" ht="0.75" customHeight="1"/>
    <row r="99" spans="1:14" ht="3.75" customHeight="1"/>
    <row r="100" spans="1:14" ht="12" customHeight="1">
      <c r="F100" s="594" t="s">
        <v>861</v>
      </c>
      <c r="K100" s="592">
        <v>185750</v>
      </c>
      <c r="M100" s="592">
        <v>185750</v>
      </c>
    </row>
    <row r="101" spans="1:14" ht="7.5" customHeight="1"/>
    <row r="102" spans="1:14" ht="15.75" customHeight="1">
      <c r="F102" s="594" t="s">
        <v>860</v>
      </c>
      <c r="H102" s="642">
        <v>589413</v>
      </c>
      <c r="I102" s="642"/>
      <c r="K102" s="592">
        <v>1156086</v>
      </c>
      <c r="L102" s="593" t="s">
        <v>859</v>
      </c>
      <c r="M102" s="592">
        <v>566673</v>
      </c>
    </row>
    <row r="103" spans="1:14" ht="3.75" customHeight="1"/>
    <row r="104" spans="1:14" ht="16.5" customHeight="1">
      <c r="A104" s="640" t="s">
        <v>885</v>
      </c>
      <c r="B104" s="640"/>
      <c r="C104" s="640" t="s">
        <v>911</v>
      </c>
      <c r="D104" s="640"/>
      <c r="E104" s="596" t="s">
        <v>910</v>
      </c>
      <c r="F104" s="595" t="s">
        <v>962</v>
      </c>
      <c r="H104" s="642">
        <v>201409</v>
      </c>
      <c r="I104" s="642"/>
      <c r="L104" s="593" t="s">
        <v>859</v>
      </c>
      <c r="M104" s="592">
        <v>365264</v>
      </c>
    </row>
    <row r="105" spans="1:14" ht="0.75" customHeight="1"/>
    <row r="106" spans="1:14" ht="3.75" customHeight="1"/>
    <row r="107" spans="1:14" ht="15" customHeight="1">
      <c r="A107" s="640" t="s">
        <v>885</v>
      </c>
      <c r="B107" s="640"/>
      <c r="C107" s="640" t="s">
        <v>613</v>
      </c>
      <c r="D107" s="640"/>
      <c r="E107" s="596" t="s">
        <v>904</v>
      </c>
      <c r="F107" s="641" t="s">
        <v>961</v>
      </c>
      <c r="K107" s="592">
        <v>7253</v>
      </c>
      <c r="L107" s="593" t="s">
        <v>859</v>
      </c>
      <c r="M107" s="592">
        <v>372517</v>
      </c>
      <c r="N107" s="457">
        <f>2166+1302+1953+896</f>
        <v>6317</v>
      </c>
    </row>
    <row r="108" spans="1:14" ht="15" customHeight="1">
      <c r="F108" s="641"/>
    </row>
    <row r="109" spans="1:14" ht="0.75" customHeight="1"/>
    <row r="110" spans="1:14" ht="3.75" customHeight="1"/>
    <row r="111" spans="1:14" ht="16.5" customHeight="1">
      <c r="A111" s="640" t="s">
        <v>885</v>
      </c>
      <c r="B111" s="640"/>
      <c r="C111" s="640" t="s">
        <v>617</v>
      </c>
      <c r="D111" s="640"/>
      <c r="E111" s="596" t="s">
        <v>889</v>
      </c>
      <c r="F111" s="595" t="s">
        <v>960</v>
      </c>
      <c r="K111" s="592">
        <v>6496</v>
      </c>
      <c r="L111" s="593" t="s">
        <v>859</v>
      </c>
      <c r="M111" s="592">
        <v>379013</v>
      </c>
    </row>
    <row r="112" spans="1:14" ht="0.75" customHeight="1"/>
    <row r="113" spans="1:14" ht="3.75" customHeight="1"/>
    <row r="114" spans="1:14" ht="16.5" customHeight="1">
      <c r="A114" s="640" t="s">
        <v>885</v>
      </c>
      <c r="B114" s="640"/>
      <c r="C114" s="640" t="s">
        <v>550</v>
      </c>
      <c r="D114" s="640"/>
      <c r="E114" s="596" t="s">
        <v>887</v>
      </c>
      <c r="F114" s="595" t="s">
        <v>959</v>
      </c>
      <c r="H114" s="642">
        <v>195691</v>
      </c>
      <c r="I114" s="642"/>
      <c r="L114" s="593" t="s">
        <v>859</v>
      </c>
      <c r="M114" s="592">
        <v>183322</v>
      </c>
    </row>
    <row r="115" spans="1:14" ht="0.75" customHeight="1"/>
    <row r="116" spans="1:14" ht="3.75" customHeight="1"/>
    <row r="117" spans="1:14" ht="16.5" customHeight="1">
      <c r="A117" s="640" t="s">
        <v>885</v>
      </c>
      <c r="B117" s="640"/>
      <c r="C117" s="640" t="s">
        <v>884</v>
      </c>
      <c r="D117" s="640"/>
      <c r="E117" s="596" t="s">
        <v>883</v>
      </c>
      <c r="F117" s="595" t="s">
        <v>882</v>
      </c>
      <c r="K117" s="592">
        <v>178098</v>
      </c>
      <c r="L117" s="593" t="s">
        <v>859</v>
      </c>
      <c r="M117" s="592">
        <v>361420</v>
      </c>
      <c r="N117" s="457">
        <f>K117</f>
        <v>178098</v>
      </c>
    </row>
    <row r="118" spans="1:14" ht="0.75" customHeight="1"/>
    <row r="119" spans="1:14" ht="3.75" customHeight="1"/>
    <row r="120" spans="1:14" ht="12" customHeight="1">
      <c r="F120" s="594" t="s">
        <v>861</v>
      </c>
      <c r="H120" s="642">
        <v>397100</v>
      </c>
      <c r="I120" s="642"/>
      <c r="K120" s="592">
        <v>191847</v>
      </c>
      <c r="M120" s="592">
        <v>205253</v>
      </c>
    </row>
    <row r="121" spans="1:14" ht="7.5" customHeight="1"/>
    <row r="122" spans="1:14" ht="15.75" customHeight="1">
      <c r="F122" s="594" t="s">
        <v>860</v>
      </c>
      <c r="H122" s="642">
        <v>986513</v>
      </c>
      <c r="I122" s="642"/>
      <c r="K122" s="592">
        <v>1347933</v>
      </c>
      <c r="L122" s="593" t="s">
        <v>859</v>
      </c>
      <c r="M122" s="592">
        <v>361420</v>
      </c>
    </row>
    <row r="123" spans="1:14" ht="3.75" customHeight="1"/>
    <row r="124" spans="1:14" ht="16.5" customHeight="1">
      <c r="A124" s="640" t="s">
        <v>864</v>
      </c>
      <c r="B124" s="640"/>
      <c r="C124" s="640" t="s">
        <v>881</v>
      </c>
      <c r="D124" s="640"/>
      <c r="E124" s="596" t="s">
        <v>880</v>
      </c>
      <c r="F124" s="595" t="s">
        <v>879</v>
      </c>
      <c r="K124" s="592">
        <v>18816</v>
      </c>
      <c r="L124" s="593" t="s">
        <v>859</v>
      </c>
      <c r="M124" s="592">
        <v>380236</v>
      </c>
    </row>
    <row r="125" spans="1:14" ht="0.75" customHeight="1"/>
    <row r="126" spans="1:14" ht="20.25" customHeight="1">
      <c r="A126" s="635" t="s">
        <v>902</v>
      </c>
      <c r="B126" s="635"/>
      <c r="C126" s="635"/>
      <c r="D126" s="635"/>
      <c r="E126" s="635"/>
      <c r="F126" s="635"/>
      <c r="G126" s="635"/>
      <c r="H126" s="635"/>
      <c r="I126" s="635"/>
      <c r="J126" s="635"/>
      <c r="K126" s="635"/>
      <c r="L126" s="635"/>
      <c r="M126" s="635"/>
    </row>
    <row r="127" spans="1:14" ht="6" customHeight="1"/>
    <row r="128" spans="1:14" ht="20.25" customHeight="1">
      <c r="A128" s="635" t="s">
        <v>901</v>
      </c>
      <c r="B128" s="635"/>
      <c r="C128" s="635"/>
      <c r="D128" s="635"/>
      <c r="E128" s="635"/>
      <c r="F128" s="635"/>
      <c r="G128" s="635"/>
      <c r="H128" s="635"/>
      <c r="I128" s="635"/>
      <c r="J128" s="635"/>
      <c r="K128" s="635"/>
      <c r="L128" s="635"/>
      <c r="M128" s="635"/>
    </row>
    <row r="129" spans="1:14" ht="6" customHeight="1"/>
    <row r="130" spans="1:14" ht="24.75" customHeight="1">
      <c r="A130" s="635" t="s">
        <v>900</v>
      </c>
      <c r="B130" s="635"/>
      <c r="C130" s="635"/>
      <c r="D130" s="635"/>
      <c r="E130" s="635"/>
      <c r="F130" s="635"/>
      <c r="G130" s="635"/>
      <c r="H130" s="635"/>
      <c r="I130" s="635"/>
      <c r="J130" s="635"/>
      <c r="K130" s="635"/>
      <c r="L130" s="635"/>
      <c r="M130" s="635"/>
    </row>
    <row r="131" spans="1:14" ht="12" customHeight="1">
      <c r="B131" s="636" t="s">
        <v>899</v>
      </c>
      <c r="C131" s="636"/>
      <c r="D131" s="636"/>
      <c r="E131" s="636"/>
      <c r="F131" s="636"/>
      <c r="G131" s="636"/>
      <c r="H131" s="636"/>
      <c r="I131" s="636"/>
      <c r="J131" s="636"/>
      <c r="K131" s="636"/>
      <c r="L131" s="636"/>
      <c r="M131" s="636"/>
    </row>
    <row r="132" spans="1:14" ht="6.75" customHeight="1"/>
    <row r="133" spans="1:14" ht="12" customHeight="1">
      <c r="A133" s="637" t="s">
        <v>898</v>
      </c>
      <c r="B133" s="637"/>
      <c r="C133" s="637"/>
      <c r="D133" s="637"/>
      <c r="E133" s="638" t="s">
        <v>897</v>
      </c>
      <c r="H133" s="638" t="s">
        <v>896</v>
      </c>
      <c r="I133" s="638"/>
      <c r="J133" s="638"/>
      <c r="K133" s="638"/>
      <c r="L133" s="638"/>
      <c r="M133" s="638"/>
    </row>
    <row r="134" spans="1:14" ht="12.75" hidden="1" customHeight="1">
      <c r="A134" s="637"/>
      <c r="B134" s="637"/>
      <c r="C134" s="637"/>
      <c r="D134" s="637"/>
      <c r="E134" s="638"/>
      <c r="F134" s="638" t="s">
        <v>895</v>
      </c>
      <c r="H134" s="638"/>
      <c r="I134" s="638"/>
      <c r="J134" s="638"/>
      <c r="K134" s="638"/>
      <c r="L134" s="638"/>
      <c r="M134" s="638"/>
    </row>
    <row r="135" spans="1:14" ht="13.5" customHeight="1">
      <c r="E135" s="638"/>
      <c r="F135" s="638"/>
    </row>
    <row r="136" spans="1:14" ht="12" customHeight="1">
      <c r="A136" s="638" t="s">
        <v>894</v>
      </c>
      <c r="B136" s="638"/>
      <c r="C136" s="638" t="s">
        <v>893</v>
      </c>
      <c r="D136" s="638"/>
      <c r="E136" s="638"/>
      <c r="G136" s="638" t="s">
        <v>892</v>
      </c>
      <c r="H136" s="638"/>
      <c r="I136" s="638"/>
      <c r="K136" s="597" t="s">
        <v>891</v>
      </c>
      <c r="L136" s="597" t="s">
        <v>890</v>
      </c>
      <c r="M136" s="597" t="s">
        <v>81</v>
      </c>
    </row>
    <row r="137" spans="1:14" ht="6" customHeight="1">
      <c r="E137" s="638"/>
    </row>
    <row r="138" spans="1:14" ht="3.75" customHeight="1"/>
    <row r="139" spans="1:14" ht="15" customHeight="1">
      <c r="A139" s="640" t="s">
        <v>864</v>
      </c>
      <c r="B139" s="640"/>
      <c r="C139" s="640" t="s">
        <v>609</v>
      </c>
      <c r="D139" s="640"/>
      <c r="E139" s="596" t="s">
        <v>871</v>
      </c>
      <c r="F139" s="641" t="s">
        <v>958</v>
      </c>
      <c r="K139" s="592">
        <v>7300</v>
      </c>
      <c r="L139" s="593" t="s">
        <v>859</v>
      </c>
      <c r="M139" s="592">
        <v>387536</v>
      </c>
      <c r="N139" s="457">
        <f>K139</f>
        <v>7300</v>
      </c>
    </row>
    <row r="140" spans="1:14" ht="15" customHeight="1">
      <c r="F140" s="641"/>
    </row>
    <row r="141" spans="1:14" ht="0.75" customHeight="1"/>
    <row r="142" spans="1:14" ht="3.75" customHeight="1"/>
    <row r="143" spans="1:14" ht="16.5" customHeight="1">
      <c r="A143" s="640" t="s">
        <v>864</v>
      </c>
      <c r="B143" s="640"/>
      <c r="C143" s="640" t="s">
        <v>869</v>
      </c>
      <c r="D143" s="640"/>
      <c r="E143" s="596" t="s">
        <v>868</v>
      </c>
      <c r="F143" s="595" t="s">
        <v>957</v>
      </c>
      <c r="K143" s="592">
        <v>4128</v>
      </c>
      <c r="L143" s="593" t="s">
        <v>859</v>
      </c>
      <c r="M143" s="592">
        <v>391664</v>
      </c>
      <c r="N143" s="457">
        <f>K143</f>
        <v>4128</v>
      </c>
    </row>
    <row r="144" spans="1:14" ht="0.75" customHeight="1"/>
    <row r="145" spans="1:15" ht="3.75" customHeight="1"/>
    <row r="146" spans="1:15" ht="16.5" customHeight="1">
      <c r="A146" s="640" t="s">
        <v>864</v>
      </c>
      <c r="B146" s="640"/>
      <c r="C146" s="640" t="s">
        <v>627</v>
      </c>
      <c r="D146" s="640"/>
      <c r="E146" s="596" t="s">
        <v>866</v>
      </c>
      <c r="F146" s="595" t="s">
        <v>956</v>
      </c>
      <c r="H146" s="642">
        <v>193915</v>
      </c>
      <c r="I146" s="642"/>
      <c r="L146" s="593" t="s">
        <v>859</v>
      </c>
      <c r="M146" s="592">
        <v>197749</v>
      </c>
    </row>
    <row r="147" spans="1:15" ht="0.75" customHeight="1"/>
    <row r="148" spans="1:15" ht="3.75" customHeight="1"/>
    <row r="149" spans="1:15" s="575" customFormat="1" ht="16.5" customHeight="1">
      <c r="A149" s="643" t="s">
        <v>864</v>
      </c>
      <c r="B149" s="643"/>
      <c r="C149" s="643" t="s">
        <v>644</v>
      </c>
      <c r="D149" s="643"/>
      <c r="E149" s="602" t="s">
        <v>863</v>
      </c>
      <c r="F149" s="603" t="s">
        <v>862</v>
      </c>
      <c r="K149" s="604">
        <v>179587</v>
      </c>
      <c r="L149" s="605" t="s">
        <v>859</v>
      </c>
      <c r="M149" s="604">
        <v>377336</v>
      </c>
      <c r="N149" s="583">
        <f>K149</f>
        <v>179587</v>
      </c>
    </row>
    <row r="150" spans="1:15" ht="0.75" customHeight="1"/>
    <row r="151" spans="1:15" ht="3.75" customHeight="1"/>
    <row r="152" spans="1:15" ht="12" customHeight="1">
      <c r="F152" s="594" t="s">
        <v>861</v>
      </c>
      <c r="H152" s="642">
        <v>193915</v>
      </c>
      <c r="I152" s="642"/>
      <c r="K152" s="592">
        <v>209831</v>
      </c>
      <c r="M152" s="592">
        <v>15916</v>
      </c>
    </row>
    <row r="153" spans="1:15" ht="7.5" customHeight="1"/>
    <row r="154" spans="1:15" ht="15.75" customHeight="1">
      <c r="F154" s="594" t="s">
        <v>860</v>
      </c>
      <c r="H154" s="642">
        <v>1180428</v>
      </c>
      <c r="I154" s="642"/>
      <c r="K154" s="592">
        <v>1557764</v>
      </c>
      <c r="L154" s="593" t="s">
        <v>859</v>
      </c>
      <c r="M154" s="592">
        <v>377336</v>
      </c>
      <c r="N154" s="457">
        <f>SUM(N107:N149)</f>
        <v>375430</v>
      </c>
      <c r="O154" s="610">
        <f>M154-N154</f>
        <v>1906</v>
      </c>
    </row>
    <row r="155" spans="1:15" ht="14.25">
      <c r="O155" s="609" t="s">
        <v>981</v>
      </c>
    </row>
    <row r="156" spans="1:15" ht="6" customHeight="1"/>
    <row r="157" spans="1:15" ht="13.5" customHeight="1">
      <c r="A157" s="644" t="s">
        <v>858</v>
      </c>
      <c r="B157" s="644"/>
      <c r="C157" s="644"/>
      <c r="D157" s="644"/>
      <c r="E157" s="644"/>
      <c r="F157" s="644"/>
      <c r="G157" s="644"/>
      <c r="H157" s="644"/>
    </row>
    <row r="158" spans="1:15" ht="20.25" customHeight="1">
      <c r="A158" s="645" t="s">
        <v>857</v>
      </c>
      <c r="B158" s="645"/>
      <c r="C158" s="645"/>
      <c r="D158" s="645"/>
      <c r="E158" s="645"/>
      <c r="F158" s="645"/>
      <c r="G158" s="645"/>
      <c r="H158" s="645"/>
      <c r="I158" s="645"/>
      <c r="J158" s="645"/>
      <c r="K158" s="645"/>
      <c r="L158" s="645"/>
      <c r="M158" s="645"/>
    </row>
  </sheetData>
  <mergeCells count="118">
    <mergeCell ref="A139:B139"/>
    <mergeCell ref="C139:D139"/>
    <mergeCell ref="F139:F140"/>
    <mergeCell ref="A143:B143"/>
    <mergeCell ref="C143:D143"/>
    <mergeCell ref="H154:I154"/>
    <mergeCell ref="A157:H157"/>
    <mergeCell ref="A158:M158"/>
    <mergeCell ref="A146:B146"/>
    <mergeCell ref="C146:D146"/>
    <mergeCell ref="H146:I146"/>
    <mergeCell ref="A149:B149"/>
    <mergeCell ref="C149:D149"/>
    <mergeCell ref="H152:I152"/>
    <mergeCell ref="H120:I120"/>
    <mergeCell ref="H122:I122"/>
    <mergeCell ref="A124:B124"/>
    <mergeCell ref="C124:D124"/>
    <mergeCell ref="A126:M126"/>
    <mergeCell ref="A128:M128"/>
    <mergeCell ref="A130:M130"/>
    <mergeCell ref="B131:M131"/>
    <mergeCell ref="A133:D134"/>
    <mergeCell ref="E133:E137"/>
    <mergeCell ref="H133:M134"/>
    <mergeCell ref="F134:F135"/>
    <mergeCell ref="A136:B136"/>
    <mergeCell ref="C136:D136"/>
    <mergeCell ref="G136:I136"/>
    <mergeCell ref="A107:B107"/>
    <mergeCell ref="C107:D107"/>
    <mergeCell ref="F107:F108"/>
    <mergeCell ref="A111:B111"/>
    <mergeCell ref="C111:D111"/>
    <mergeCell ref="A114:B114"/>
    <mergeCell ref="C114:D114"/>
    <mergeCell ref="H114:I114"/>
    <mergeCell ref="A117:B117"/>
    <mergeCell ref="C117:D117"/>
    <mergeCell ref="A90:B90"/>
    <mergeCell ref="C90:D90"/>
    <mergeCell ref="F90:F91"/>
    <mergeCell ref="A94:B94"/>
    <mergeCell ref="C94:D94"/>
    <mergeCell ref="A97:B97"/>
    <mergeCell ref="C97:D97"/>
    <mergeCell ref="H102:I102"/>
    <mergeCell ref="A104:B104"/>
    <mergeCell ref="C104:D104"/>
    <mergeCell ref="H104:I104"/>
    <mergeCell ref="A77:B77"/>
    <mergeCell ref="C77:D77"/>
    <mergeCell ref="A80:B80"/>
    <mergeCell ref="C80:D80"/>
    <mergeCell ref="H80:I80"/>
    <mergeCell ref="A83:B83"/>
    <mergeCell ref="C83:D83"/>
    <mergeCell ref="H86:I86"/>
    <mergeCell ref="H88:I88"/>
    <mergeCell ref="A64:M64"/>
    <mergeCell ref="A66:M66"/>
    <mergeCell ref="A68:M68"/>
    <mergeCell ref="B69:M69"/>
    <mergeCell ref="A71:D72"/>
    <mergeCell ref="E71:E75"/>
    <mergeCell ref="H71:M72"/>
    <mergeCell ref="F72:F73"/>
    <mergeCell ref="A74:B74"/>
    <mergeCell ref="C74:D74"/>
    <mergeCell ref="G74:I74"/>
    <mergeCell ref="H53:I53"/>
    <mergeCell ref="A55:B55"/>
    <mergeCell ref="C55:D55"/>
    <mergeCell ref="H55:I55"/>
    <mergeCell ref="A58:B58"/>
    <mergeCell ref="C58:D58"/>
    <mergeCell ref="H58:I58"/>
    <mergeCell ref="A61:B61"/>
    <mergeCell ref="C61:D61"/>
    <mergeCell ref="F61:F62"/>
    <mergeCell ref="A41:B41"/>
    <mergeCell ref="C41:D41"/>
    <mergeCell ref="F41:F42"/>
    <mergeCell ref="H41:I41"/>
    <mergeCell ref="A45:B45"/>
    <mergeCell ref="C45:D45"/>
    <mergeCell ref="A48:B48"/>
    <mergeCell ref="C48:D48"/>
    <mergeCell ref="H51:I51"/>
    <mergeCell ref="A31:B31"/>
    <mergeCell ref="C31:D31"/>
    <mergeCell ref="H31:I31"/>
    <mergeCell ref="A34:B34"/>
    <mergeCell ref="C34:D34"/>
    <mergeCell ref="H34:I34"/>
    <mergeCell ref="A37:B37"/>
    <mergeCell ref="C37:D37"/>
    <mergeCell ref="F37:F38"/>
    <mergeCell ref="A14:B14"/>
    <mergeCell ref="C14:D14"/>
    <mergeCell ref="A21:B21"/>
    <mergeCell ref="C21:D21"/>
    <mergeCell ref="F21:F22"/>
    <mergeCell ref="A25:B25"/>
    <mergeCell ref="C25:D25"/>
    <mergeCell ref="A28:B28"/>
    <mergeCell ref="C28:D28"/>
    <mergeCell ref="A1:M1"/>
    <mergeCell ref="A3:M3"/>
    <mergeCell ref="A5:M5"/>
    <mergeCell ref="B6:M6"/>
    <mergeCell ref="A8:D9"/>
    <mergeCell ref="E8:E12"/>
    <mergeCell ref="H8:M9"/>
    <mergeCell ref="F9:F10"/>
    <mergeCell ref="A11:B11"/>
    <mergeCell ref="C11:D11"/>
    <mergeCell ref="G11:I11"/>
  </mergeCells>
  <phoneticPr fontId="10" type="noConversion"/>
  <pageMargins left="0.78749999999999998" right="0.78749999999999998" top="0.59097222222222223" bottom="0.19722222222222222" header="0" footer="0"/>
  <pageSetup paperSize="9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E358A-A9E8-46B5-9938-338EF9485175}">
  <sheetPr>
    <outlinePr summaryBelow="0"/>
    <pageSetUpPr autoPageBreaks="0"/>
  </sheetPr>
  <dimension ref="A2:Y277"/>
  <sheetViews>
    <sheetView showGridLines="0" topLeftCell="A13" workbookViewId="0">
      <selection activeCell="Y43" sqref="Y43"/>
    </sheetView>
  </sheetViews>
  <sheetFormatPr defaultRowHeight="12.75"/>
  <cols>
    <col min="1" max="1" width="3.140625" style="549" customWidth="1"/>
    <col min="2" max="2" width="61" style="549" customWidth="1"/>
    <col min="3" max="3" width="7.42578125" style="549" customWidth="1"/>
    <col min="4" max="4" width="1.42578125" style="549" customWidth="1"/>
    <col min="5" max="5" width="11.85546875" style="549" customWidth="1"/>
    <col min="6" max="6" width="2.28515625" style="549" customWidth="1"/>
    <col min="7" max="7" width="11.28515625" style="549" customWidth="1"/>
    <col min="8" max="8" width="2" style="549" customWidth="1"/>
    <col min="9" max="9" width="12.85546875" style="549" customWidth="1"/>
    <col min="10" max="10" width="1.42578125" style="549" customWidth="1"/>
    <col min="11" max="11" width="11.5703125" style="549" customWidth="1"/>
    <col min="12" max="12" width="2.85546875" style="549" customWidth="1"/>
    <col min="13" max="13" width="1" style="549" customWidth="1"/>
    <col min="14" max="14" width="8" style="549" customWidth="1"/>
    <col min="15" max="15" width="2.28515625" style="549" customWidth="1"/>
    <col min="16" max="16" width="2.140625" style="549" customWidth="1"/>
    <col min="17" max="17" width="9.28515625" style="575" customWidth="1"/>
    <col min="18" max="18" width="4" style="575" customWidth="1"/>
    <col min="19" max="19" width="2.85546875" style="575" customWidth="1"/>
    <col min="20" max="20" width="12.5703125" style="575" customWidth="1"/>
    <col min="21" max="21" width="1" style="575" customWidth="1"/>
    <col min="22" max="22" width="1.140625" style="575" customWidth="1"/>
    <col min="23" max="23" width="2.85546875" style="575" customWidth="1"/>
    <col min="24" max="24" width="9.85546875" style="575" customWidth="1"/>
    <col min="25" max="25" width="12.7109375" style="583" customWidth="1"/>
    <col min="26" max="256" width="6.85546875" style="549" customWidth="1"/>
    <col min="257" max="16384" width="9.140625" style="549"/>
  </cols>
  <sheetData>
    <row r="2" spans="1:24" ht="15.75">
      <c r="R2" s="646" t="s">
        <v>856</v>
      </c>
      <c r="S2" s="646"/>
      <c r="T2" s="646"/>
      <c r="U2" s="646"/>
      <c r="V2" s="646"/>
      <c r="W2" s="646"/>
    </row>
    <row r="3" spans="1:24" ht="25.5">
      <c r="A3" s="647" t="s">
        <v>855</v>
      </c>
      <c r="B3" s="647"/>
      <c r="C3" s="647"/>
      <c r="D3" s="647"/>
      <c r="E3" s="647"/>
      <c r="F3" s="647"/>
      <c r="G3" s="647"/>
      <c r="H3" s="647"/>
      <c r="I3" s="647"/>
      <c r="J3" s="647"/>
      <c r="K3" s="647"/>
      <c r="L3" s="647"/>
      <c r="M3" s="647"/>
      <c r="N3" s="647"/>
      <c r="O3" s="647"/>
      <c r="P3" s="647"/>
      <c r="Q3" s="647"/>
      <c r="R3" s="647"/>
      <c r="S3" s="647"/>
      <c r="T3" s="647"/>
      <c r="U3" s="647"/>
      <c r="V3" s="647"/>
      <c r="W3" s="647"/>
    </row>
    <row r="4" spans="1:24" ht="25.5">
      <c r="A4" s="647" t="s">
        <v>854</v>
      </c>
      <c r="B4" s="647"/>
      <c r="C4" s="647"/>
      <c r="D4" s="647"/>
      <c r="E4" s="647"/>
      <c r="F4" s="647"/>
      <c r="G4" s="647"/>
      <c r="H4" s="647"/>
      <c r="I4" s="647"/>
      <c r="J4" s="647"/>
      <c r="K4" s="647"/>
      <c r="L4" s="647"/>
      <c r="M4" s="647"/>
      <c r="N4" s="647"/>
      <c r="O4" s="647"/>
      <c r="P4" s="647"/>
      <c r="Q4" s="647"/>
      <c r="R4" s="647"/>
      <c r="S4" s="647"/>
      <c r="T4" s="647"/>
      <c r="U4" s="647"/>
      <c r="V4" s="647"/>
      <c r="W4" s="647"/>
    </row>
    <row r="5" spans="1:24" ht="25.5">
      <c r="A5" s="647" t="s">
        <v>853</v>
      </c>
      <c r="B5" s="647"/>
      <c r="C5" s="647"/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  <c r="P5" s="647"/>
      <c r="Q5" s="647"/>
      <c r="R5" s="647"/>
      <c r="S5" s="647"/>
      <c r="T5" s="647"/>
      <c r="U5" s="647"/>
      <c r="V5" s="647"/>
      <c r="W5" s="647"/>
    </row>
    <row r="7" spans="1:24">
      <c r="A7" s="648" t="s">
        <v>852</v>
      </c>
      <c r="B7" s="648"/>
      <c r="C7" s="648"/>
      <c r="E7" s="648" t="s">
        <v>851</v>
      </c>
      <c r="F7" s="648" t="s">
        <v>850</v>
      </c>
      <c r="G7" s="648"/>
      <c r="H7" s="648" t="s">
        <v>849</v>
      </c>
      <c r="I7" s="648"/>
      <c r="K7" s="648" t="s">
        <v>848</v>
      </c>
      <c r="L7" s="648"/>
      <c r="N7" s="648" t="s">
        <v>847</v>
      </c>
      <c r="Q7" s="649" t="s">
        <v>846</v>
      </c>
      <c r="R7" s="649"/>
      <c r="T7" s="649" t="s">
        <v>845</v>
      </c>
      <c r="W7" s="649" t="s">
        <v>844</v>
      </c>
      <c r="X7" s="649"/>
    </row>
    <row r="8" spans="1:24">
      <c r="A8" s="648"/>
      <c r="B8" s="648"/>
      <c r="C8" s="648"/>
      <c r="E8" s="648"/>
      <c r="F8" s="648"/>
      <c r="G8" s="648"/>
      <c r="H8" s="648"/>
      <c r="I8" s="648"/>
      <c r="K8" s="648"/>
      <c r="L8" s="648"/>
      <c r="N8" s="648"/>
      <c r="Q8" s="649"/>
      <c r="R8" s="649"/>
      <c r="T8" s="649"/>
      <c r="W8" s="649"/>
      <c r="X8" s="649"/>
    </row>
    <row r="9" spans="1:24">
      <c r="A9" s="648"/>
      <c r="B9" s="648"/>
      <c r="C9" s="648"/>
      <c r="E9" s="648"/>
      <c r="F9" s="648"/>
      <c r="G9" s="648"/>
      <c r="H9" s="648"/>
      <c r="I9" s="648"/>
      <c r="K9" s="648"/>
      <c r="L9" s="648"/>
      <c r="N9" s="648"/>
      <c r="Q9" s="649"/>
      <c r="R9" s="649"/>
      <c r="T9" s="649"/>
      <c r="W9" s="649"/>
      <c r="X9" s="649"/>
    </row>
    <row r="11" spans="1:24" ht="15">
      <c r="B11" s="650" t="s">
        <v>843</v>
      </c>
      <c r="C11" s="650"/>
      <c r="E11" s="566">
        <v>154178</v>
      </c>
      <c r="G11" s="566">
        <v>149026</v>
      </c>
      <c r="I11" s="566">
        <v>154178</v>
      </c>
    </row>
    <row r="12" spans="1:24">
      <c r="B12" s="650"/>
      <c r="C12" s="650"/>
    </row>
    <row r="13" spans="1:24" ht="15">
      <c r="B13" s="650" t="s">
        <v>842</v>
      </c>
      <c r="C13" s="650"/>
      <c r="E13" s="566">
        <v>728738</v>
      </c>
      <c r="G13" s="566">
        <v>553649</v>
      </c>
      <c r="M13" s="651">
        <v>11023</v>
      </c>
      <c r="N13" s="651"/>
      <c r="O13" s="651"/>
      <c r="Q13" s="652">
        <v>728738</v>
      </c>
      <c r="R13" s="652"/>
      <c r="T13" s="652">
        <v>728738</v>
      </c>
      <c r="U13" s="652"/>
      <c r="W13" s="652">
        <v>717715</v>
      </c>
      <c r="X13" s="652"/>
    </row>
    <row r="14" spans="1:24">
      <c r="B14" s="650"/>
      <c r="C14" s="650"/>
    </row>
    <row r="15" spans="1:24" ht="15">
      <c r="B15" s="650" t="s">
        <v>841</v>
      </c>
      <c r="C15" s="650"/>
      <c r="E15" s="566">
        <v>148347</v>
      </c>
      <c r="G15" s="566">
        <v>141105</v>
      </c>
      <c r="I15" s="566">
        <v>148347</v>
      </c>
    </row>
    <row r="16" spans="1:24">
      <c r="B16" s="650"/>
      <c r="C16" s="650"/>
    </row>
    <row r="17" spans="2:25" ht="15">
      <c r="B17" s="650" t="s">
        <v>840</v>
      </c>
      <c r="C17" s="650"/>
      <c r="E17" s="566">
        <v>70664</v>
      </c>
      <c r="G17" s="566">
        <v>68637</v>
      </c>
      <c r="I17" s="566">
        <v>70664</v>
      </c>
    </row>
    <row r="18" spans="2:25">
      <c r="B18" s="650"/>
      <c r="C18" s="650"/>
    </row>
    <row r="19" spans="2:25" ht="15">
      <c r="B19" s="650" t="s">
        <v>839</v>
      </c>
      <c r="C19" s="650"/>
      <c r="E19" s="566">
        <v>426804</v>
      </c>
      <c r="G19" s="566">
        <v>348262</v>
      </c>
      <c r="Q19" s="652">
        <v>426804</v>
      </c>
      <c r="R19" s="652"/>
      <c r="T19" s="652">
        <v>426804</v>
      </c>
      <c r="U19" s="652"/>
      <c r="W19" s="652">
        <v>426804</v>
      </c>
      <c r="X19" s="652"/>
    </row>
    <row r="20" spans="2:25">
      <c r="B20" s="650"/>
      <c r="C20" s="650"/>
    </row>
    <row r="21" spans="2:25" ht="15">
      <c r="B21" s="653" t="s">
        <v>838</v>
      </c>
      <c r="C21" s="653"/>
      <c r="E21" s="566">
        <v>397728</v>
      </c>
      <c r="G21" s="566">
        <v>365412</v>
      </c>
      <c r="I21" s="566">
        <v>397728</v>
      </c>
    </row>
    <row r="22" spans="2:25">
      <c r="B22" s="653"/>
      <c r="C22" s="653"/>
    </row>
    <row r="23" spans="2:25" s="567" customFormat="1" ht="15">
      <c r="B23" s="650" t="s">
        <v>837</v>
      </c>
      <c r="C23" s="650"/>
      <c r="E23" s="568">
        <v>434875</v>
      </c>
      <c r="G23" s="568">
        <v>485140</v>
      </c>
      <c r="I23" s="568">
        <v>434875</v>
      </c>
      <c r="M23" s="654">
        <v>50265</v>
      </c>
      <c r="N23" s="654"/>
      <c r="O23" s="654"/>
      <c r="Q23" s="576"/>
      <c r="R23" s="576"/>
      <c r="S23" s="576"/>
      <c r="T23" s="576"/>
      <c r="U23" s="576"/>
      <c r="V23" s="576"/>
      <c r="W23" s="655">
        <v>-50265</v>
      </c>
      <c r="X23" s="655"/>
      <c r="Y23" s="584">
        <f>Q23</f>
        <v>0</v>
      </c>
    </row>
    <row r="24" spans="2:25">
      <c r="B24" s="650"/>
      <c r="C24" s="650"/>
    </row>
    <row r="25" spans="2:25" ht="15">
      <c r="B25" s="650" t="s">
        <v>836</v>
      </c>
      <c r="C25" s="650"/>
      <c r="E25" s="566">
        <v>4182589</v>
      </c>
      <c r="G25" s="566">
        <v>4182589</v>
      </c>
      <c r="I25" s="566">
        <v>4182589</v>
      </c>
    </row>
    <row r="26" spans="2:25">
      <c r="B26" s="650"/>
      <c r="C26" s="650"/>
    </row>
    <row r="27" spans="2:25" s="569" customFormat="1" ht="15">
      <c r="B27" s="650" t="s">
        <v>835</v>
      </c>
      <c r="C27" s="650"/>
      <c r="E27" s="570">
        <v>500</v>
      </c>
      <c r="Q27" s="656">
        <v>500</v>
      </c>
      <c r="R27" s="656"/>
      <c r="S27" s="577"/>
      <c r="T27" s="656">
        <v>500</v>
      </c>
      <c r="U27" s="656"/>
      <c r="V27" s="577"/>
      <c r="W27" s="656">
        <v>500</v>
      </c>
      <c r="X27" s="656"/>
      <c r="Y27" s="585">
        <f>Q27</f>
        <v>500</v>
      </c>
    </row>
    <row r="28" spans="2:25">
      <c r="B28" s="650"/>
      <c r="C28" s="650"/>
    </row>
    <row r="29" spans="2:25" s="571" customFormat="1" ht="15">
      <c r="B29" s="650" t="s">
        <v>834</v>
      </c>
      <c r="C29" s="650"/>
      <c r="E29" s="572">
        <v>1083060</v>
      </c>
      <c r="Q29" s="657">
        <v>1083060</v>
      </c>
      <c r="R29" s="657"/>
      <c r="S29" s="578"/>
      <c r="T29" s="657">
        <v>1083060</v>
      </c>
      <c r="U29" s="657"/>
      <c r="V29" s="578"/>
      <c r="W29" s="657">
        <v>1083060</v>
      </c>
      <c r="X29" s="657"/>
      <c r="Y29" s="586">
        <f>Q29</f>
        <v>1083060</v>
      </c>
    </row>
    <row r="30" spans="2:25">
      <c r="B30" s="650"/>
      <c r="C30" s="650"/>
    </row>
    <row r="31" spans="2:25" s="573" customFormat="1" ht="15">
      <c r="B31" s="650" t="s">
        <v>833</v>
      </c>
      <c r="C31" s="650"/>
      <c r="E31" s="574">
        <v>1083127</v>
      </c>
      <c r="Q31" s="658">
        <v>1083127</v>
      </c>
      <c r="R31" s="658"/>
      <c r="S31" s="579"/>
      <c r="T31" s="658">
        <v>1083127</v>
      </c>
      <c r="U31" s="658"/>
      <c r="V31" s="579"/>
      <c r="W31" s="658">
        <v>1083127</v>
      </c>
      <c r="X31" s="658"/>
      <c r="Y31" s="587">
        <f>Q31</f>
        <v>1083127</v>
      </c>
    </row>
    <row r="32" spans="2:25">
      <c r="B32" s="650"/>
      <c r="C32" s="650"/>
    </row>
    <row r="33" spans="2:25" s="551" customFormat="1" ht="15">
      <c r="B33" s="659" t="s">
        <v>832</v>
      </c>
      <c r="C33" s="659"/>
      <c r="E33" s="589">
        <v>6817131</v>
      </c>
      <c r="G33" s="589">
        <v>6817131</v>
      </c>
      <c r="I33" s="589">
        <v>5540946</v>
      </c>
      <c r="M33" s="660">
        <v>1276185</v>
      </c>
      <c r="N33" s="660"/>
      <c r="O33" s="660"/>
      <c r="Q33" s="661">
        <v>1276185</v>
      </c>
      <c r="R33" s="661"/>
      <c r="S33" s="590"/>
      <c r="T33" s="661">
        <v>1276185</v>
      </c>
      <c r="U33" s="661"/>
      <c r="V33" s="590"/>
      <c r="W33" s="590"/>
      <c r="X33" s="590"/>
      <c r="Y33" s="362"/>
    </row>
    <row r="34" spans="2:25" s="551" customFormat="1">
      <c r="B34" s="659"/>
      <c r="C34" s="659"/>
      <c r="Q34" s="590"/>
      <c r="R34" s="590"/>
      <c r="S34" s="590"/>
      <c r="T34" s="590"/>
      <c r="U34" s="590"/>
      <c r="V34" s="590"/>
      <c r="W34" s="590"/>
      <c r="X34" s="590"/>
      <c r="Y34" s="362"/>
    </row>
    <row r="35" spans="2:25" s="551" customFormat="1" ht="15">
      <c r="B35" s="650" t="s">
        <v>831</v>
      </c>
      <c r="C35" s="650"/>
      <c r="E35" s="589">
        <v>1694224</v>
      </c>
      <c r="G35" s="589">
        <v>1651939</v>
      </c>
      <c r="I35" s="589">
        <v>1337709</v>
      </c>
      <c r="M35" s="660">
        <v>314230</v>
      </c>
      <c r="N35" s="660"/>
      <c r="O35" s="660"/>
      <c r="Q35" s="661">
        <v>356515</v>
      </c>
      <c r="R35" s="661"/>
      <c r="S35" s="590"/>
      <c r="T35" s="661">
        <v>356515</v>
      </c>
      <c r="U35" s="661"/>
      <c r="V35" s="590"/>
      <c r="W35" s="661">
        <v>42285</v>
      </c>
      <c r="X35" s="661"/>
      <c r="Y35" s="591">
        <f>48252-4021*(1+15/31)</f>
        <v>42285.354838709674</v>
      </c>
    </row>
    <row r="36" spans="2:25">
      <c r="B36" s="650"/>
      <c r="C36" s="650"/>
    </row>
    <row r="37" spans="2:25" ht="15">
      <c r="B37" s="650" t="s">
        <v>830</v>
      </c>
      <c r="C37" s="650"/>
      <c r="E37" s="566">
        <v>1557764</v>
      </c>
      <c r="G37" s="566">
        <v>1178776</v>
      </c>
      <c r="I37" s="566">
        <v>1180428</v>
      </c>
      <c r="Q37" s="652">
        <v>377336</v>
      </c>
      <c r="R37" s="652"/>
      <c r="T37" s="652">
        <v>377336</v>
      </c>
      <c r="U37" s="652"/>
      <c r="W37" s="652">
        <v>377336</v>
      </c>
      <c r="X37" s="652"/>
    </row>
    <row r="38" spans="2:25">
      <c r="B38" s="650"/>
      <c r="C38" s="650"/>
    </row>
    <row r="39" spans="2:25" ht="15">
      <c r="B39" s="650" t="s">
        <v>829</v>
      </c>
      <c r="C39" s="650"/>
      <c r="E39" s="566">
        <v>279069</v>
      </c>
      <c r="G39" s="566">
        <v>225406</v>
      </c>
      <c r="I39" s="566">
        <v>225406</v>
      </c>
      <c r="Q39" s="652">
        <v>53663</v>
      </c>
      <c r="R39" s="652"/>
      <c r="T39" s="652">
        <v>53663</v>
      </c>
      <c r="U39" s="652"/>
      <c r="W39" s="652">
        <v>53663</v>
      </c>
      <c r="X39" s="652"/>
    </row>
    <row r="40" spans="2:25">
      <c r="B40" s="650"/>
      <c r="C40" s="650"/>
    </row>
    <row r="41" spans="2:25" ht="15">
      <c r="B41" s="650" t="s">
        <v>828</v>
      </c>
      <c r="C41" s="650"/>
      <c r="E41" s="566">
        <v>18263</v>
      </c>
      <c r="G41" s="566">
        <v>14152</v>
      </c>
      <c r="I41" s="566">
        <v>14152</v>
      </c>
      <c r="Q41" s="652">
        <v>4111</v>
      </c>
      <c r="R41" s="652"/>
      <c r="T41" s="652">
        <v>4111</v>
      </c>
      <c r="U41" s="652"/>
      <c r="W41" s="652">
        <v>4111</v>
      </c>
      <c r="X41" s="652"/>
    </row>
    <row r="42" spans="2:25">
      <c r="B42" s="650"/>
      <c r="C42" s="650"/>
    </row>
    <row r="43" spans="2:25" ht="15">
      <c r="B43" s="650" t="s">
        <v>827</v>
      </c>
      <c r="C43" s="650"/>
      <c r="E43" s="566">
        <v>819730</v>
      </c>
      <c r="G43" s="566">
        <v>776759</v>
      </c>
      <c r="I43" s="566">
        <v>776759</v>
      </c>
      <c r="Q43" s="652">
        <v>42971</v>
      </c>
      <c r="R43" s="652"/>
      <c r="T43" s="652">
        <v>42971</v>
      </c>
      <c r="U43" s="652"/>
      <c r="W43" s="652">
        <v>42971</v>
      </c>
      <c r="X43" s="652"/>
    </row>
    <row r="44" spans="2:25">
      <c r="B44" s="650"/>
      <c r="C44" s="650"/>
    </row>
    <row r="45" spans="2:25" ht="15">
      <c r="B45" s="650" t="s">
        <v>826</v>
      </c>
      <c r="C45" s="650"/>
      <c r="E45" s="566">
        <v>20818</v>
      </c>
      <c r="G45" s="566">
        <v>20818</v>
      </c>
      <c r="I45" s="566">
        <v>20818</v>
      </c>
    </row>
    <row r="46" spans="2:25">
      <c r="B46" s="650"/>
      <c r="C46" s="650"/>
    </row>
    <row r="47" spans="2:25" ht="15">
      <c r="B47" s="650" t="s">
        <v>825</v>
      </c>
      <c r="C47" s="650"/>
      <c r="E47" s="566">
        <v>52073</v>
      </c>
      <c r="G47" s="566">
        <v>43012</v>
      </c>
      <c r="I47" s="566">
        <v>43012</v>
      </c>
      <c r="Q47" s="652">
        <v>9061</v>
      </c>
      <c r="R47" s="652"/>
      <c r="T47" s="652">
        <v>9061</v>
      </c>
      <c r="U47" s="652"/>
      <c r="W47" s="652">
        <v>9061</v>
      </c>
      <c r="X47" s="652"/>
    </row>
    <row r="48" spans="2:25">
      <c r="B48" s="650"/>
      <c r="C48" s="650"/>
    </row>
    <row r="49" spans="2:24" ht="15">
      <c r="B49" s="650" t="s">
        <v>824</v>
      </c>
      <c r="C49" s="650"/>
      <c r="E49" s="566">
        <v>6195</v>
      </c>
      <c r="G49" s="566">
        <v>4028</v>
      </c>
      <c r="I49" s="566">
        <v>4028</v>
      </c>
      <c r="Q49" s="652">
        <v>2167</v>
      </c>
      <c r="R49" s="652"/>
      <c r="T49" s="652">
        <v>2167</v>
      </c>
      <c r="U49" s="652"/>
      <c r="W49" s="652">
        <v>2167</v>
      </c>
      <c r="X49" s="652"/>
    </row>
    <row r="50" spans="2:24">
      <c r="B50" s="650"/>
      <c r="C50" s="650"/>
    </row>
    <row r="51" spans="2:24" ht="15">
      <c r="B51" s="650" t="s">
        <v>823</v>
      </c>
      <c r="C51" s="650"/>
      <c r="E51" s="566">
        <v>81000</v>
      </c>
      <c r="Q51" s="652">
        <v>81000</v>
      </c>
      <c r="R51" s="652"/>
      <c r="T51" s="652">
        <v>81000</v>
      </c>
      <c r="U51" s="652"/>
      <c r="W51" s="652">
        <v>81000</v>
      </c>
      <c r="X51" s="652"/>
    </row>
    <row r="52" spans="2:24">
      <c r="B52" s="650"/>
      <c r="C52" s="650"/>
    </row>
    <row r="53" spans="2:24" ht="15">
      <c r="B53" s="650" t="s">
        <v>822</v>
      </c>
      <c r="C53" s="650"/>
      <c r="E53" s="566">
        <v>200800</v>
      </c>
      <c r="I53" s="566">
        <v>200800</v>
      </c>
    </row>
    <row r="54" spans="2:24">
      <c r="B54" s="650"/>
      <c r="C54" s="650"/>
    </row>
    <row r="55" spans="2:24" ht="15">
      <c r="B55" s="650" t="s">
        <v>821</v>
      </c>
      <c r="C55" s="650"/>
      <c r="E55" s="566">
        <v>1191631</v>
      </c>
      <c r="G55" s="566">
        <v>1191631</v>
      </c>
      <c r="I55" s="566">
        <v>1191631</v>
      </c>
    </row>
    <row r="56" spans="2:24">
      <c r="B56" s="650"/>
      <c r="C56" s="650"/>
    </row>
    <row r="57" spans="2:24" ht="15">
      <c r="B57" s="650" t="s">
        <v>820</v>
      </c>
      <c r="C57" s="650"/>
      <c r="E57" s="566">
        <v>590740</v>
      </c>
      <c r="G57" s="566">
        <v>141770</v>
      </c>
      <c r="I57" s="566">
        <v>141770</v>
      </c>
      <c r="Q57" s="652">
        <v>448970</v>
      </c>
      <c r="R57" s="652"/>
      <c r="T57" s="652">
        <v>448970</v>
      </c>
      <c r="U57" s="652"/>
      <c r="W57" s="652">
        <v>448970</v>
      </c>
      <c r="X57" s="652"/>
    </row>
    <row r="58" spans="2:24">
      <c r="B58" s="650"/>
      <c r="C58" s="650"/>
    </row>
    <row r="59" spans="2:24" ht="15">
      <c r="B59" s="650" t="s">
        <v>819</v>
      </c>
      <c r="C59" s="650"/>
      <c r="E59" s="566">
        <v>142080</v>
      </c>
      <c r="Q59" s="652">
        <v>142080</v>
      </c>
      <c r="R59" s="652"/>
      <c r="T59" s="652">
        <v>142080</v>
      </c>
      <c r="U59" s="652"/>
      <c r="W59" s="652">
        <v>142080</v>
      </c>
      <c r="X59" s="652"/>
    </row>
    <row r="60" spans="2:24">
      <c r="B60" s="650"/>
      <c r="C60" s="650"/>
    </row>
    <row r="61" spans="2:24" ht="15">
      <c r="B61" s="650" t="s">
        <v>818</v>
      </c>
      <c r="C61" s="650"/>
      <c r="E61" s="566">
        <v>807178</v>
      </c>
      <c r="G61" s="566">
        <v>485344</v>
      </c>
      <c r="I61" s="566">
        <v>492420</v>
      </c>
      <c r="Q61" s="652">
        <v>314758</v>
      </c>
      <c r="R61" s="652"/>
      <c r="T61" s="652">
        <v>314758</v>
      </c>
      <c r="U61" s="652"/>
      <c r="W61" s="652">
        <v>314758</v>
      </c>
      <c r="X61" s="652"/>
    </row>
    <row r="62" spans="2:24">
      <c r="B62" s="650"/>
      <c r="C62" s="650"/>
    </row>
    <row r="63" spans="2:24" ht="15">
      <c r="B63" s="650" t="s">
        <v>817</v>
      </c>
      <c r="C63" s="650"/>
      <c r="E63" s="566">
        <v>24000</v>
      </c>
      <c r="G63" s="566">
        <v>10080</v>
      </c>
      <c r="I63" s="566">
        <v>14400</v>
      </c>
      <c r="Q63" s="652">
        <v>9600</v>
      </c>
      <c r="R63" s="652"/>
      <c r="T63" s="652">
        <v>9600</v>
      </c>
      <c r="U63" s="652"/>
      <c r="W63" s="652">
        <v>9600</v>
      </c>
      <c r="X63" s="652"/>
    </row>
    <row r="64" spans="2:24">
      <c r="B64" s="650"/>
      <c r="C64" s="650"/>
    </row>
    <row r="65" spans="2:24" ht="15">
      <c r="B65" s="650" t="s">
        <v>816</v>
      </c>
      <c r="C65" s="650"/>
      <c r="E65" s="566">
        <v>37800</v>
      </c>
      <c r="G65" s="566">
        <v>14700</v>
      </c>
      <c r="I65" s="566">
        <v>21000</v>
      </c>
      <c r="Q65" s="652">
        <v>16800</v>
      </c>
      <c r="R65" s="652"/>
      <c r="T65" s="652">
        <v>16800</v>
      </c>
      <c r="U65" s="652"/>
      <c r="W65" s="652">
        <v>16800</v>
      </c>
      <c r="X65" s="652"/>
    </row>
    <row r="66" spans="2:24">
      <c r="B66" s="650"/>
      <c r="C66" s="650"/>
    </row>
    <row r="67" spans="2:24" ht="15">
      <c r="B67" s="650" t="s">
        <v>815</v>
      </c>
      <c r="C67" s="650"/>
      <c r="E67" s="566">
        <v>38400</v>
      </c>
      <c r="G67" s="566">
        <v>14560</v>
      </c>
      <c r="I67" s="566">
        <v>20800</v>
      </c>
      <c r="Q67" s="652">
        <v>17600</v>
      </c>
      <c r="R67" s="652"/>
      <c r="T67" s="652">
        <v>17600</v>
      </c>
      <c r="U67" s="652"/>
      <c r="W67" s="652">
        <v>17600</v>
      </c>
      <c r="X67" s="652"/>
    </row>
    <row r="68" spans="2:24">
      <c r="B68" s="650"/>
      <c r="C68" s="650"/>
    </row>
    <row r="69" spans="2:24" ht="15">
      <c r="B69" s="650" t="s">
        <v>814</v>
      </c>
      <c r="C69" s="650"/>
      <c r="E69" s="566">
        <v>79000</v>
      </c>
      <c r="G69" s="566">
        <v>30096</v>
      </c>
      <c r="I69" s="566">
        <v>43000</v>
      </c>
      <c r="Q69" s="652">
        <v>36000</v>
      </c>
      <c r="R69" s="652"/>
      <c r="T69" s="652">
        <v>36000</v>
      </c>
      <c r="U69" s="652"/>
      <c r="W69" s="652">
        <v>36000</v>
      </c>
      <c r="X69" s="652"/>
    </row>
    <row r="70" spans="2:24">
      <c r="B70" s="650"/>
      <c r="C70" s="650"/>
    </row>
    <row r="71" spans="2:24" ht="15">
      <c r="B71" s="650" t="s">
        <v>813</v>
      </c>
      <c r="C71" s="650"/>
      <c r="E71" s="566">
        <v>14300</v>
      </c>
      <c r="G71" s="566">
        <v>4550</v>
      </c>
      <c r="I71" s="566">
        <v>6500</v>
      </c>
      <c r="Q71" s="652">
        <v>7800</v>
      </c>
      <c r="R71" s="652"/>
      <c r="T71" s="652">
        <v>7800</v>
      </c>
      <c r="U71" s="652"/>
      <c r="W71" s="652">
        <v>7800</v>
      </c>
      <c r="X71" s="652"/>
    </row>
    <row r="72" spans="2:24">
      <c r="B72" s="650"/>
      <c r="C72" s="650"/>
    </row>
    <row r="73" spans="2:24" ht="15">
      <c r="B73" s="650" t="s">
        <v>812</v>
      </c>
      <c r="C73" s="650"/>
      <c r="E73" s="566">
        <v>81000</v>
      </c>
      <c r="G73" s="566">
        <v>29400</v>
      </c>
      <c r="I73" s="566">
        <v>42000</v>
      </c>
      <c r="Q73" s="652">
        <v>39000</v>
      </c>
      <c r="R73" s="652"/>
      <c r="T73" s="652">
        <v>39000</v>
      </c>
      <c r="U73" s="652"/>
      <c r="W73" s="652">
        <v>39000</v>
      </c>
      <c r="X73" s="652"/>
    </row>
    <row r="74" spans="2:24">
      <c r="B74" s="650"/>
      <c r="C74" s="650"/>
    </row>
    <row r="75" spans="2:24" ht="15">
      <c r="B75" s="650" t="s">
        <v>811</v>
      </c>
      <c r="C75" s="650"/>
      <c r="E75" s="566">
        <v>30600</v>
      </c>
      <c r="G75" s="566">
        <v>10075</v>
      </c>
      <c r="I75" s="566">
        <v>14400</v>
      </c>
      <c r="Q75" s="652">
        <v>16200</v>
      </c>
      <c r="R75" s="652"/>
      <c r="T75" s="652">
        <v>16200</v>
      </c>
      <c r="U75" s="652"/>
      <c r="W75" s="652">
        <v>16200</v>
      </c>
      <c r="X75" s="652"/>
    </row>
    <row r="76" spans="2:24">
      <c r="B76" s="650"/>
      <c r="C76" s="650"/>
    </row>
    <row r="77" spans="2:24" ht="15">
      <c r="B77" s="650" t="s">
        <v>810</v>
      </c>
      <c r="C77" s="650"/>
      <c r="E77" s="566">
        <v>27000</v>
      </c>
      <c r="G77" s="566">
        <v>10080</v>
      </c>
      <c r="I77" s="566">
        <v>14400</v>
      </c>
      <c r="Q77" s="652">
        <v>12600</v>
      </c>
      <c r="R77" s="652"/>
      <c r="T77" s="652">
        <v>12600</v>
      </c>
      <c r="U77" s="652"/>
      <c r="W77" s="652">
        <v>12600</v>
      </c>
      <c r="X77" s="652"/>
    </row>
    <row r="78" spans="2:24">
      <c r="B78" s="650"/>
      <c r="C78" s="650"/>
    </row>
    <row r="79" spans="2:24" ht="15">
      <c r="B79" s="650" t="s">
        <v>809</v>
      </c>
      <c r="C79" s="650"/>
      <c r="E79" s="566">
        <v>145600</v>
      </c>
      <c r="G79" s="566">
        <v>50976</v>
      </c>
      <c r="I79" s="566">
        <v>72800</v>
      </c>
      <c r="Q79" s="652">
        <v>72800</v>
      </c>
      <c r="R79" s="652"/>
      <c r="T79" s="652">
        <v>72800</v>
      </c>
      <c r="U79" s="652"/>
      <c r="W79" s="652">
        <v>72800</v>
      </c>
      <c r="X79" s="652"/>
    </row>
    <row r="80" spans="2:24">
      <c r="B80" s="650"/>
      <c r="C80" s="650"/>
    </row>
    <row r="81" spans="2:24" ht="15">
      <c r="B81" s="650" t="s">
        <v>808</v>
      </c>
      <c r="C81" s="650"/>
      <c r="E81" s="566">
        <v>133169</v>
      </c>
      <c r="Q81" s="652">
        <v>133169</v>
      </c>
      <c r="R81" s="652"/>
      <c r="T81" s="652">
        <v>133169</v>
      </c>
      <c r="U81" s="652"/>
      <c r="W81" s="652">
        <v>133169</v>
      </c>
      <c r="X81" s="652"/>
    </row>
    <row r="82" spans="2:24">
      <c r="B82" s="650"/>
      <c r="C82" s="650"/>
    </row>
    <row r="83" spans="2:24" ht="15">
      <c r="B83" s="650" t="s">
        <v>807</v>
      </c>
      <c r="C83" s="650"/>
      <c r="E83" s="566">
        <v>41650</v>
      </c>
      <c r="G83" s="566">
        <v>15442</v>
      </c>
      <c r="I83" s="566">
        <v>22050</v>
      </c>
      <c r="Q83" s="652">
        <v>19600</v>
      </c>
      <c r="R83" s="652"/>
      <c r="T83" s="652">
        <v>19600</v>
      </c>
      <c r="U83" s="652"/>
      <c r="W83" s="652">
        <v>19600</v>
      </c>
      <c r="X83" s="652"/>
    </row>
    <row r="84" spans="2:24">
      <c r="B84" s="650"/>
      <c r="C84" s="650"/>
    </row>
    <row r="85" spans="2:24" ht="15">
      <c r="B85" s="650" t="s">
        <v>806</v>
      </c>
      <c r="C85" s="650"/>
      <c r="E85" s="566">
        <v>102985</v>
      </c>
      <c r="G85" s="566">
        <v>16800</v>
      </c>
      <c r="I85" s="566">
        <v>56715</v>
      </c>
      <c r="Q85" s="652">
        <v>46270</v>
      </c>
      <c r="R85" s="652"/>
      <c r="T85" s="652">
        <v>46270</v>
      </c>
      <c r="U85" s="652"/>
      <c r="W85" s="652">
        <v>46270</v>
      </c>
      <c r="X85" s="652"/>
    </row>
    <row r="86" spans="2:24">
      <c r="B86" s="650"/>
      <c r="C86" s="650"/>
    </row>
    <row r="87" spans="2:24" ht="15">
      <c r="B87" s="650" t="s">
        <v>805</v>
      </c>
      <c r="C87" s="650"/>
      <c r="E87" s="566">
        <v>13800</v>
      </c>
      <c r="G87" s="566">
        <v>9660</v>
      </c>
      <c r="I87" s="566">
        <v>13800</v>
      </c>
    </row>
    <row r="88" spans="2:24">
      <c r="B88" s="650"/>
      <c r="C88" s="650"/>
    </row>
    <row r="89" spans="2:24">
      <c r="B89" s="650"/>
      <c r="C89" s="650"/>
    </row>
    <row r="90" spans="2:24" ht="15">
      <c r="B90" s="650" t="s">
        <v>804</v>
      </c>
      <c r="C90" s="650"/>
      <c r="E90" s="566">
        <v>33800</v>
      </c>
      <c r="Q90" s="652">
        <v>33800</v>
      </c>
      <c r="R90" s="652"/>
      <c r="T90" s="652">
        <v>33800</v>
      </c>
      <c r="U90" s="652"/>
      <c r="W90" s="652">
        <v>33800</v>
      </c>
      <c r="X90" s="652"/>
    </row>
    <row r="91" spans="2:24">
      <c r="B91" s="650"/>
      <c r="C91" s="650"/>
    </row>
    <row r="92" spans="2:24" ht="15">
      <c r="B92" s="650" t="s">
        <v>803</v>
      </c>
      <c r="C92" s="650"/>
      <c r="E92" s="566">
        <v>3500</v>
      </c>
      <c r="G92" s="566">
        <v>3500</v>
      </c>
      <c r="I92" s="566">
        <v>3500</v>
      </c>
    </row>
    <row r="93" spans="2:24">
      <c r="B93" s="650"/>
      <c r="C93" s="650"/>
    </row>
    <row r="94" spans="2:24" ht="15">
      <c r="B94" s="650" t="s">
        <v>802</v>
      </c>
      <c r="C94" s="650"/>
      <c r="E94" s="566">
        <v>97854</v>
      </c>
      <c r="Q94" s="652">
        <v>97854</v>
      </c>
      <c r="R94" s="652"/>
      <c r="T94" s="652">
        <v>97854</v>
      </c>
      <c r="U94" s="652"/>
      <c r="W94" s="652">
        <v>97854</v>
      </c>
      <c r="X94" s="652"/>
    </row>
    <row r="95" spans="2:24">
      <c r="B95" s="650"/>
      <c r="C95" s="650"/>
    </row>
    <row r="96" spans="2:24">
      <c r="B96" s="650"/>
      <c r="C96" s="650"/>
    </row>
    <row r="97" spans="2:24" ht="15">
      <c r="B97" s="650" t="s">
        <v>801</v>
      </c>
      <c r="C97" s="650"/>
      <c r="E97" s="566">
        <v>1357850</v>
      </c>
      <c r="G97" s="566">
        <v>559129</v>
      </c>
      <c r="I97" s="566">
        <v>564791</v>
      </c>
      <c r="Q97" s="652">
        <v>793059</v>
      </c>
      <c r="R97" s="652"/>
      <c r="T97" s="652">
        <v>793059</v>
      </c>
      <c r="U97" s="652"/>
      <c r="W97" s="652">
        <v>793059</v>
      </c>
      <c r="X97" s="652"/>
    </row>
    <row r="98" spans="2:24">
      <c r="B98" s="650"/>
      <c r="C98" s="650"/>
    </row>
    <row r="99" spans="2:24" ht="15">
      <c r="B99" s="650" t="s">
        <v>800</v>
      </c>
      <c r="C99" s="650"/>
      <c r="E99" s="566">
        <v>139409</v>
      </c>
      <c r="G99" s="566">
        <v>26658</v>
      </c>
      <c r="I99" s="566">
        <v>26658</v>
      </c>
      <c r="Q99" s="652">
        <v>112751</v>
      </c>
      <c r="R99" s="652"/>
      <c r="T99" s="652">
        <v>112751</v>
      </c>
      <c r="U99" s="652"/>
      <c r="W99" s="652">
        <v>112751</v>
      </c>
      <c r="X99" s="652"/>
    </row>
    <row r="100" spans="2:24">
      <c r="B100" s="650"/>
      <c r="C100" s="650"/>
    </row>
    <row r="101" spans="2:24" ht="15">
      <c r="B101" s="650" t="s">
        <v>799</v>
      </c>
      <c r="C101" s="650"/>
      <c r="E101" s="566">
        <v>213800</v>
      </c>
      <c r="G101" s="566">
        <v>210953</v>
      </c>
      <c r="I101" s="566">
        <v>213800</v>
      </c>
    </row>
    <row r="102" spans="2:24">
      <c r="B102" s="650"/>
      <c r="C102" s="650"/>
    </row>
    <row r="103" spans="2:24">
      <c r="B103" s="650"/>
      <c r="C103" s="650"/>
    </row>
    <row r="104" spans="2:24" ht="15">
      <c r="B104" s="650" t="s">
        <v>798</v>
      </c>
      <c r="C104" s="650"/>
      <c r="E104" s="566">
        <v>36025</v>
      </c>
      <c r="G104" s="566">
        <v>35280</v>
      </c>
      <c r="I104" s="566">
        <v>36025</v>
      </c>
    </row>
    <row r="105" spans="2:24">
      <c r="B105" s="650"/>
      <c r="C105" s="650"/>
    </row>
    <row r="106" spans="2:24" ht="15">
      <c r="B106" s="650" t="s">
        <v>797</v>
      </c>
      <c r="C106" s="650"/>
      <c r="E106" s="566">
        <v>200000</v>
      </c>
      <c r="G106" s="566">
        <v>2500</v>
      </c>
      <c r="I106" s="566">
        <v>2553</v>
      </c>
      <c r="Q106" s="652">
        <v>197447</v>
      </c>
      <c r="R106" s="652"/>
      <c r="T106" s="652">
        <v>197447</v>
      </c>
      <c r="U106" s="652"/>
      <c r="W106" s="652">
        <v>197447</v>
      </c>
      <c r="X106" s="652"/>
    </row>
    <row r="107" spans="2:24">
      <c r="B107" s="650"/>
      <c r="C107" s="650"/>
    </row>
    <row r="108" spans="2:24">
      <c r="B108" s="650"/>
      <c r="C108" s="650"/>
    </row>
    <row r="109" spans="2:24" ht="15">
      <c r="B109" s="650" t="s">
        <v>796</v>
      </c>
      <c r="C109" s="650"/>
      <c r="E109" s="566">
        <v>9692</v>
      </c>
      <c r="G109" s="566">
        <v>3024</v>
      </c>
      <c r="I109" s="566">
        <v>6384</v>
      </c>
      <c r="Q109" s="652">
        <v>3308</v>
      </c>
      <c r="R109" s="652"/>
      <c r="T109" s="652">
        <v>3308</v>
      </c>
      <c r="U109" s="652"/>
      <c r="W109" s="652">
        <v>3308</v>
      </c>
      <c r="X109" s="652"/>
    </row>
    <row r="110" spans="2:24">
      <c r="B110" s="650"/>
      <c r="C110" s="650"/>
    </row>
    <row r="111" spans="2:24" ht="15">
      <c r="B111" s="650" t="s">
        <v>795</v>
      </c>
      <c r="C111" s="650"/>
      <c r="E111" s="566">
        <v>793089</v>
      </c>
      <c r="G111" s="566">
        <v>482615</v>
      </c>
      <c r="I111" s="566">
        <v>483489</v>
      </c>
      <c r="Q111" s="652">
        <v>309600</v>
      </c>
      <c r="R111" s="652"/>
      <c r="T111" s="652">
        <v>309600</v>
      </c>
      <c r="U111" s="652"/>
      <c r="W111" s="652">
        <v>309600</v>
      </c>
      <c r="X111" s="652"/>
    </row>
    <row r="112" spans="2:24">
      <c r="B112" s="650"/>
      <c r="C112" s="650"/>
    </row>
    <row r="113" spans="2:24" ht="15">
      <c r="B113" s="650" t="s">
        <v>794</v>
      </c>
      <c r="C113" s="650"/>
      <c r="E113" s="566">
        <v>4055</v>
      </c>
      <c r="Q113" s="652">
        <v>4055</v>
      </c>
      <c r="R113" s="652"/>
      <c r="T113" s="652">
        <v>4055</v>
      </c>
      <c r="U113" s="652"/>
      <c r="W113" s="652">
        <v>4055</v>
      </c>
      <c r="X113" s="652"/>
    </row>
    <row r="114" spans="2:24">
      <c r="B114" s="650"/>
      <c r="C114" s="650"/>
    </row>
    <row r="115" spans="2:24">
      <c r="B115" s="650"/>
      <c r="C115" s="650"/>
    </row>
    <row r="116" spans="2:24" ht="15">
      <c r="B116" s="650" t="s">
        <v>793</v>
      </c>
      <c r="C116" s="650"/>
      <c r="E116" s="566">
        <v>6174315</v>
      </c>
      <c r="G116" s="566">
        <v>4281165</v>
      </c>
      <c r="I116" s="566">
        <v>4281165</v>
      </c>
      <c r="Q116" s="652">
        <v>1893150</v>
      </c>
      <c r="R116" s="652"/>
      <c r="T116" s="652">
        <v>1893150</v>
      </c>
      <c r="U116" s="652"/>
      <c r="W116" s="652">
        <v>1893150</v>
      </c>
      <c r="X116" s="652"/>
    </row>
    <row r="117" spans="2:24">
      <c r="B117" s="650"/>
      <c r="C117" s="650"/>
    </row>
    <row r="118" spans="2:24" ht="15">
      <c r="B118" s="650" t="s">
        <v>792</v>
      </c>
      <c r="C118" s="650"/>
      <c r="E118" s="566">
        <v>496389</v>
      </c>
      <c r="G118" s="566">
        <v>380363</v>
      </c>
      <c r="I118" s="566">
        <v>386591</v>
      </c>
      <c r="Q118" s="652">
        <v>109798</v>
      </c>
      <c r="R118" s="652"/>
      <c r="T118" s="652">
        <v>109798</v>
      </c>
      <c r="U118" s="652"/>
      <c r="W118" s="652">
        <v>109798</v>
      </c>
      <c r="X118" s="652"/>
    </row>
    <row r="119" spans="2:24">
      <c r="B119" s="650"/>
      <c r="C119" s="650"/>
    </row>
    <row r="120" spans="2:24" ht="15">
      <c r="B120" s="650" t="s">
        <v>791</v>
      </c>
      <c r="C120" s="650"/>
      <c r="E120" s="566">
        <v>1041996</v>
      </c>
      <c r="G120" s="566">
        <v>44859</v>
      </c>
      <c r="I120" s="566">
        <v>45461</v>
      </c>
      <c r="Q120" s="652">
        <v>996535</v>
      </c>
      <c r="R120" s="652"/>
      <c r="T120" s="652">
        <v>996535</v>
      </c>
      <c r="U120" s="652"/>
      <c r="W120" s="652">
        <v>996535</v>
      </c>
      <c r="X120" s="652"/>
    </row>
    <row r="121" spans="2:24">
      <c r="B121" s="650"/>
      <c r="C121" s="650"/>
    </row>
    <row r="122" spans="2:24" ht="15">
      <c r="B122" s="650" t="s">
        <v>790</v>
      </c>
      <c r="C122" s="650"/>
      <c r="E122" s="566">
        <v>188590</v>
      </c>
      <c r="G122" s="566">
        <v>188590</v>
      </c>
      <c r="I122" s="566">
        <v>188590</v>
      </c>
    </row>
    <row r="123" spans="2:24">
      <c r="B123" s="650"/>
      <c r="C123" s="650"/>
    </row>
    <row r="124" spans="2:24" ht="15">
      <c r="B124" s="650" t="s">
        <v>789</v>
      </c>
      <c r="C124" s="650"/>
      <c r="E124" s="566">
        <v>420000</v>
      </c>
      <c r="G124" s="566">
        <v>116779</v>
      </c>
      <c r="I124" s="566">
        <v>311259</v>
      </c>
      <c r="Q124" s="652">
        <v>108741</v>
      </c>
      <c r="R124" s="652"/>
      <c r="T124" s="652">
        <v>108741</v>
      </c>
      <c r="U124" s="652"/>
      <c r="W124" s="652">
        <v>108741</v>
      </c>
      <c r="X124" s="652"/>
    </row>
    <row r="125" spans="2:24">
      <c r="B125" s="650"/>
      <c r="C125" s="650"/>
    </row>
    <row r="126" spans="2:24">
      <c r="B126" s="650"/>
      <c r="C126" s="650"/>
    </row>
    <row r="127" spans="2:24" ht="15">
      <c r="B127" s="650" t="s">
        <v>788</v>
      </c>
      <c r="C127" s="650"/>
      <c r="E127" s="566">
        <v>3553</v>
      </c>
      <c r="G127" s="566">
        <v>3553</v>
      </c>
      <c r="I127" s="566">
        <v>3553</v>
      </c>
    </row>
    <row r="128" spans="2:24">
      <c r="B128" s="650"/>
      <c r="C128" s="650"/>
    </row>
    <row r="129" spans="2:24" ht="15">
      <c r="B129" s="650" t="s">
        <v>787</v>
      </c>
      <c r="C129" s="650"/>
      <c r="E129" s="566">
        <v>1044514</v>
      </c>
      <c r="G129" s="566">
        <v>287527</v>
      </c>
      <c r="I129" s="566">
        <v>287527</v>
      </c>
      <c r="Q129" s="652">
        <v>756987</v>
      </c>
      <c r="R129" s="652"/>
      <c r="T129" s="652">
        <v>756987</v>
      </c>
      <c r="U129" s="652"/>
      <c r="W129" s="652">
        <v>756987</v>
      </c>
      <c r="X129" s="652"/>
    </row>
    <row r="130" spans="2:24">
      <c r="B130" s="650"/>
      <c r="C130" s="650"/>
    </row>
    <row r="131" spans="2:24">
      <c r="B131" s="650"/>
      <c r="C131" s="650"/>
    </row>
    <row r="132" spans="2:24" ht="15">
      <c r="B132" s="650" t="s">
        <v>786</v>
      </c>
      <c r="C132" s="650"/>
      <c r="E132" s="566">
        <v>473000</v>
      </c>
      <c r="G132" s="566">
        <v>159055</v>
      </c>
      <c r="I132" s="566">
        <v>160450</v>
      </c>
      <c r="Q132" s="652">
        <v>312550</v>
      </c>
      <c r="R132" s="652"/>
      <c r="T132" s="652">
        <v>312550</v>
      </c>
      <c r="U132" s="652"/>
      <c r="W132" s="652">
        <v>312550</v>
      </c>
      <c r="X132" s="652"/>
    </row>
    <row r="133" spans="2:24">
      <c r="B133" s="650"/>
      <c r="C133" s="650"/>
    </row>
    <row r="134" spans="2:24" ht="15">
      <c r="B134" s="650" t="s">
        <v>785</v>
      </c>
      <c r="C134" s="650"/>
      <c r="E134" s="566">
        <v>55351</v>
      </c>
      <c r="G134" s="566">
        <v>8430</v>
      </c>
      <c r="I134" s="566">
        <v>8430</v>
      </c>
      <c r="Q134" s="652">
        <v>46921</v>
      </c>
      <c r="R134" s="652"/>
      <c r="T134" s="652">
        <v>46921</v>
      </c>
      <c r="U134" s="652"/>
      <c r="W134" s="652">
        <v>46921</v>
      </c>
      <c r="X134" s="652"/>
    </row>
    <row r="135" spans="2:24">
      <c r="B135" s="650"/>
      <c r="C135" s="650"/>
    </row>
    <row r="136" spans="2:24" ht="15">
      <c r="B136" s="650" t="s">
        <v>784</v>
      </c>
      <c r="C136" s="650"/>
      <c r="E136" s="566">
        <v>2015745</v>
      </c>
      <c r="G136" s="566">
        <v>1316091</v>
      </c>
      <c r="I136" s="566">
        <v>1349609</v>
      </c>
      <c r="M136" s="651">
        <v>4683</v>
      </c>
      <c r="N136" s="651"/>
      <c r="O136" s="651"/>
      <c r="Q136" s="652">
        <v>666136</v>
      </c>
      <c r="R136" s="652"/>
      <c r="T136" s="652">
        <v>666136</v>
      </c>
      <c r="U136" s="652"/>
      <c r="W136" s="652">
        <v>661453</v>
      </c>
      <c r="X136" s="652"/>
    </row>
    <row r="137" spans="2:24">
      <c r="B137" s="650"/>
      <c r="C137" s="650"/>
    </row>
    <row r="138" spans="2:24" ht="15">
      <c r="B138" s="650" t="s">
        <v>783</v>
      </c>
      <c r="C138" s="650"/>
      <c r="E138" s="566">
        <v>962884</v>
      </c>
      <c r="G138" s="566">
        <v>327238</v>
      </c>
      <c r="I138" s="566">
        <v>503266</v>
      </c>
      <c r="Q138" s="652">
        <v>459618</v>
      </c>
      <c r="R138" s="652"/>
      <c r="T138" s="652">
        <v>459618</v>
      </c>
      <c r="U138" s="652"/>
      <c r="W138" s="652">
        <v>459618</v>
      </c>
      <c r="X138" s="652"/>
    </row>
    <row r="139" spans="2:24">
      <c r="B139" s="650"/>
      <c r="C139" s="650"/>
    </row>
    <row r="140" spans="2:24" ht="15">
      <c r="B140" s="650" t="s">
        <v>782</v>
      </c>
      <c r="C140" s="650"/>
      <c r="E140" s="566">
        <v>559630</v>
      </c>
      <c r="Q140" s="652">
        <v>559630</v>
      </c>
      <c r="R140" s="652"/>
      <c r="T140" s="652">
        <v>559630</v>
      </c>
      <c r="U140" s="652"/>
      <c r="W140" s="652">
        <v>559630</v>
      </c>
      <c r="X140" s="652"/>
    </row>
    <row r="141" spans="2:24">
      <c r="B141" s="650"/>
      <c r="C141" s="650"/>
    </row>
    <row r="142" spans="2:24" ht="15">
      <c r="B142" s="650" t="s">
        <v>781</v>
      </c>
      <c r="C142" s="650"/>
      <c r="E142" s="566">
        <v>472642</v>
      </c>
      <c r="G142" s="566">
        <v>142934</v>
      </c>
      <c r="I142" s="566">
        <v>218230</v>
      </c>
      <c r="Q142" s="652">
        <v>254412</v>
      </c>
      <c r="R142" s="652"/>
      <c r="T142" s="652">
        <v>254412</v>
      </c>
      <c r="U142" s="652"/>
      <c r="W142" s="652">
        <v>254412</v>
      </c>
      <c r="X142" s="652"/>
    </row>
    <row r="143" spans="2:24">
      <c r="B143" s="650"/>
      <c r="C143" s="650"/>
    </row>
    <row r="144" spans="2:24" ht="15">
      <c r="B144" s="650" t="s">
        <v>780</v>
      </c>
      <c r="C144" s="650"/>
      <c r="E144" s="566">
        <v>302035</v>
      </c>
      <c r="G144" s="566">
        <v>60804</v>
      </c>
      <c r="I144" s="566">
        <v>216689</v>
      </c>
      <c r="Q144" s="652">
        <v>85346</v>
      </c>
      <c r="R144" s="652"/>
      <c r="T144" s="652">
        <v>85346</v>
      </c>
      <c r="U144" s="652"/>
      <c r="W144" s="652">
        <v>85346</v>
      </c>
      <c r="X144" s="652"/>
    </row>
    <row r="145" spans="2:25">
      <c r="B145" s="650"/>
      <c r="C145" s="650"/>
    </row>
    <row r="146" spans="2:25" ht="15">
      <c r="B146" s="650" t="s">
        <v>779</v>
      </c>
      <c r="C146" s="650"/>
      <c r="E146" s="566">
        <v>329028</v>
      </c>
      <c r="Q146" s="652">
        <v>329028</v>
      </c>
      <c r="R146" s="652"/>
      <c r="T146" s="652">
        <v>329028</v>
      </c>
      <c r="U146" s="652"/>
      <c r="W146" s="652">
        <v>329028</v>
      </c>
      <c r="X146" s="652"/>
    </row>
    <row r="147" spans="2:25">
      <c r="B147" s="650"/>
      <c r="C147" s="650"/>
    </row>
    <row r="148" spans="2:25" ht="15">
      <c r="B148" s="650" t="s">
        <v>778</v>
      </c>
      <c r="C148" s="650"/>
      <c r="E148" s="566">
        <v>1220700</v>
      </c>
      <c r="G148" s="566">
        <v>1180185</v>
      </c>
      <c r="I148" s="566">
        <v>1220700</v>
      </c>
    </row>
    <row r="149" spans="2:25">
      <c r="B149" s="650"/>
      <c r="C149" s="650"/>
    </row>
    <row r="150" spans="2:25" ht="15">
      <c r="B150" s="650" t="s">
        <v>777</v>
      </c>
      <c r="C150" s="650"/>
      <c r="E150" s="566">
        <v>23713316</v>
      </c>
      <c r="G150" s="566">
        <v>23447269</v>
      </c>
      <c r="I150" s="566">
        <v>23447269</v>
      </c>
      <c r="Q150" s="652">
        <v>266047</v>
      </c>
      <c r="R150" s="652"/>
      <c r="T150" s="652">
        <v>266047</v>
      </c>
      <c r="U150" s="652"/>
      <c r="W150" s="652">
        <v>266047</v>
      </c>
      <c r="X150" s="652"/>
    </row>
    <row r="151" spans="2:25">
      <c r="B151" s="650"/>
      <c r="C151" s="650"/>
    </row>
    <row r="152" spans="2:25" s="580" customFormat="1" ht="15">
      <c r="B152" s="662" t="s">
        <v>776</v>
      </c>
      <c r="C152" s="662"/>
      <c r="E152" s="581">
        <v>247617</v>
      </c>
      <c r="Q152" s="663">
        <v>247617</v>
      </c>
      <c r="R152" s="663"/>
      <c r="S152" s="582"/>
      <c r="T152" s="663">
        <v>247617</v>
      </c>
      <c r="U152" s="663"/>
      <c r="V152" s="582"/>
      <c r="W152" s="663">
        <v>247617</v>
      </c>
      <c r="X152" s="663"/>
      <c r="Y152" s="588"/>
    </row>
    <row r="153" spans="2:25" s="580" customFormat="1">
      <c r="B153" s="662"/>
      <c r="C153" s="662"/>
      <c r="Q153" s="582"/>
      <c r="R153" s="582"/>
      <c r="S153" s="582"/>
      <c r="T153" s="582"/>
      <c r="U153" s="582"/>
      <c r="V153" s="582"/>
      <c r="W153" s="582"/>
      <c r="X153" s="582"/>
      <c r="Y153" s="588"/>
    </row>
    <row r="154" spans="2:25" s="580" customFormat="1" ht="15">
      <c r="B154" s="662" t="s">
        <v>775</v>
      </c>
      <c r="C154" s="662"/>
      <c r="E154" s="581">
        <v>114997</v>
      </c>
      <c r="I154" s="581">
        <v>114997</v>
      </c>
      <c r="Q154" s="582"/>
      <c r="R154" s="582"/>
      <c r="S154" s="582"/>
      <c r="T154" s="582"/>
      <c r="U154" s="582"/>
      <c r="V154" s="582"/>
      <c r="W154" s="582"/>
      <c r="X154" s="582"/>
      <c r="Y154" s="588"/>
    </row>
    <row r="155" spans="2:25" s="580" customFormat="1">
      <c r="B155" s="662"/>
      <c r="C155" s="662"/>
      <c r="Q155" s="582"/>
      <c r="R155" s="582"/>
      <c r="S155" s="582"/>
      <c r="T155" s="582"/>
      <c r="U155" s="582"/>
      <c r="V155" s="582"/>
      <c r="W155" s="582"/>
      <c r="X155" s="582"/>
      <c r="Y155" s="588"/>
    </row>
    <row r="156" spans="2:25" s="580" customFormat="1" ht="15">
      <c r="B156" s="662" t="s">
        <v>774</v>
      </c>
      <c r="C156" s="662"/>
      <c r="E156" s="581">
        <v>247617</v>
      </c>
      <c r="I156" s="581">
        <v>247617</v>
      </c>
      <c r="Q156" s="582"/>
      <c r="R156" s="582"/>
      <c r="S156" s="582"/>
      <c r="T156" s="582"/>
      <c r="U156" s="582"/>
      <c r="V156" s="582"/>
      <c r="W156" s="582"/>
      <c r="X156" s="582"/>
      <c r="Y156" s="588"/>
    </row>
    <row r="157" spans="2:25" s="580" customFormat="1">
      <c r="B157" s="662"/>
      <c r="C157" s="662"/>
      <c r="Q157" s="582"/>
      <c r="R157" s="582"/>
      <c r="S157" s="582"/>
      <c r="T157" s="582"/>
      <c r="U157" s="582"/>
      <c r="V157" s="582"/>
      <c r="W157" s="582"/>
      <c r="X157" s="582"/>
      <c r="Y157" s="588"/>
    </row>
    <row r="158" spans="2:25" s="580" customFormat="1" ht="15">
      <c r="B158" s="662" t="s">
        <v>773</v>
      </c>
      <c r="C158" s="662"/>
      <c r="E158" s="581">
        <v>73214</v>
      </c>
      <c r="I158" s="581">
        <v>73214</v>
      </c>
      <c r="Q158" s="582"/>
      <c r="R158" s="582"/>
      <c r="S158" s="582"/>
      <c r="T158" s="582"/>
      <c r="U158" s="582"/>
      <c r="V158" s="582"/>
      <c r="W158" s="582"/>
      <c r="X158" s="582"/>
      <c r="Y158" s="588"/>
    </row>
    <row r="159" spans="2:25" s="580" customFormat="1">
      <c r="B159" s="662"/>
      <c r="C159" s="662"/>
      <c r="Q159" s="582"/>
      <c r="R159" s="582"/>
      <c r="S159" s="582"/>
      <c r="T159" s="582"/>
      <c r="U159" s="582"/>
      <c r="V159" s="582"/>
      <c r="W159" s="582"/>
      <c r="X159" s="582"/>
      <c r="Y159" s="588"/>
    </row>
    <row r="160" spans="2:25" s="580" customFormat="1" ht="15">
      <c r="B160" s="662" t="s">
        <v>772</v>
      </c>
      <c r="C160" s="662"/>
      <c r="E160" s="581">
        <v>2040</v>
      </c>
      <c r="I160" s="581">
        <v>2040</v>
      </c>
      <c r="Q160" s="582"/>
      <c r="R160" s="582"/>
      <c r="S160" s="582"/>
      <c r="T160" s="582"/>
      <c r="U160" s="582"/>
      <c r="V160" s="582"/>
      <c r="W160" s="582"/>
      <c r="X160" s="582"/>
      <c r="Y160" s="588"/>
    </row>
    <row r="161" spans="2:25" s="580" customFormat="1">
      <c r="B161" s="662"/>
      <c r="C161" s="662"/>
      <c r="Q161" s="582"/>
      <c r="R161" s="582"/>
      <c r="S161" s="582"/>
      <c r="T161" s="582"/>
      <c r="U161" s="582"/>
      <c r="V161" s="582"/>
      <c r="W161" s="582"/>
      <c r="X161" s="582"/>
      <c r="Y161" s="588"/>
    </row>
    <row r="162" spans="2:25" s="580" customFormat="1" ht="15">
      <c r="B162" s="662" t="s">
        <v>771</v>
      </c>
      <c r="C162" s="662"/>
      <c r="E162" s="581">
        <v>217700</v>
      </c>
      <c r="G162" s="581">
        <v>5400</v>
      </c>
      <c r="I162" s="581">
        <v>217700</v>
      </c>
      <c r="Q162" s="582"/>
      <c r="R162" s="582"/>
      <c r="S162" s="582"/>
      <c r="T162" s="582"/>
      <c r="U162" s="582"/>
      <c r="V162" s="582"/>
      <c r="W162" s="582"/>
      <c r="X162" s="582"/>
      <c r="Y162" s="588"/>
    </row>
    <row r="163" spans="2:25" s="580" customFormat="1">
      <c r="B163" s="662"/>
      <c r="C163" s="662"/>
      <c r="Q163" s="582"/>
      <c r="R163" s="582"/>
      <c r="S163" s="582"/>
      <c r="T163" s="582"/>
      <c r="U163" s="582"/>
      <c r="V163" s="582"/>
      <c r="W163" s="582"/>
      <c r="X163" s="582"/>
      <c r="Y163" s="588"/>
    </row>
    <row r="164" spans="2:25" s="580" customFormat="1" ht="15">
      <c r="B164" s="662" t="s">
        <v>770</v>
      </c>
      <c r="C164" s="662"/>
      <c r="E164" s="581">
        <v>114997</v>
      </c>
      <c r="G164" s="581">
        <v>5000</v>
      </c>
      <c r="I164" s="581">
        <v>5000</v>
      </c>
      <c r="Q164" s="663">
        <v>109997</v>
      </c>
      <c r="R164" s="663"/>
      <c r="S164" s="582"/>
      <c r="T164" s="663">
        <v>109997</v>
      </c>
      <c r="U164" s="663"/>
      <c r="V164" s="582"/>
      <c r="W164" s="663">
        <v>109997</v>
      </c>
      <c r="X164" s="663"/>
      <c r="Y164" s="588"/>
    </row>
    <row r="165" spans="2:25" s="580" customFormat="1">
      <c r="B165" s="662"/>
      <c r="C165" s="662"/>
      <c r="Q165" s="582"/>
      <c r="R165" s="582"/>
      <c r="S165" s="582"/>
      <c r="T165" s="582"/>
      <c r="U165" s="582"/>
      <c r="V165" s="582"/>
      <c r="W165" s="582"/>
      <c r="X165" s="582"/>
      <c r="Y165" s="588"/>
    </row>
    <row r="166" spans="2:25" s="580" customFormat="1">
      <c r="B166" s="662"/>
      <c r="C166" s="662"/>
      <c r="Q166" s="582"/>
      <c r="R166" s="582"/>
      <c r="S166" s="582"/>
      <c r="T166" s="582"/>
      <c r="U166" s="582"/>
      <c r="V166" s="582"/>
      <c r="W166" s="582"/>
      <c r="X166" s="582"/>
      <c r="Y166" s="588"/>
    </row>
    <row r="167" spans="2:25" s="580" customFormat="1" ht="15">
      <c r="B167" s="662" t="s">
        <v>769</v>
      </c>
      <c r="C167" s="662"/>
      <c r="E167" s="581">
        <v>73214</v>
      </c>
      <c r="G167" s="581">
        <v>3200</v>
      </c>
      <c r="I167" s="581">
        <v>3200</v>
      </c>
      <c r="Q167" s="663">
        <v>70014</v>
      </c>
      <c r="R167" s="663"/>
      <c r="S167" s="582"/>
      <c r="T167" s="663">
        <v>70014</v>
      </c>
      <c r="U167" s="663"/>
      <c r="V167" s="582"/>
      <c r="W167" s="663">
        <v>70014</v>
      </c>
      <c r="X167" s="663"/>
      <c r="Y167" s="588"/>
    </row>
    <row r="168" spans="2:25" s="580" customFormat="1">
      <c r="B168" s="662"/>
      <c r="C168" s="662"/>
      <c r="Q168" s="582"/>
      <c r="R168" s="582"/>
      <c r="S168" s="582"/>
      <c r="T168" s="582"/>
      <c r="U168" s="582"/>
      <c r="V168" s="582"/>
      <c r="W168" s="582"/>
      <c r="X168" s="582"/>
      <c r="Y168" s="588"/>
    </row>
    <row r="169" spans="2:25" s="580" customFormat="1">
      <c r="B169" s="662"/>
      <c r="C169" s="662"/>
      <c r="Q169" s="582"/>
      <c r="R169" s="582"/>
      <c r="S169" s="582"/>
      <c r="T169" s="582"/>
      <c r="U169" s="582"/>
      <c r="V169" s="582"/>
      <c r="W169" s="582"/>
      <c r="X169" s="582"/>
      <c r="Y169" s="588"/>
    </row>
    <row r="170" spans="2:25" s="580" customFormat="1" ht="15">
      <c r="B170" s="662" t="s">
        <v>768</v>
      </c>
      <c r="C170" s="662"/>
      <c r="E170" s="581">
        <v>212300</v>
      </c>
      <c r="Q170" s="663">
        <v>212300</v>
      </c>
      <c r="R170" s="663"/>
      <c r="S170" s="582"/>
      <c r="T170" s="663">
        <v>212300</v>
      </c>
      <c r="U170" s="663"/>
      <c r="V170" s="582"/>
      <c r="W170" s="663">
        <v>212300</v>
      </c>
      <c r="X170" s="663"/>
      <c r="Y170" s="588"/>
    </row>
    <row r="171" spans="2:25" s="580" customFormat="1">
      <c r="B171" s="662"/>
      <c r="C171" s="662"/>
      <c r="Q171" s="582"/>
      <c r="R171" s="582"/>
      <c r="S171" s="582"/>
      <c r="T171" s="582"/>
      <c r="U171" s="582"/>
      <c r="V171" s="582"/>
      <c r="W171" s="582"/>
      <c r="X171" s="582"/>
      <c r="Y171" s="588"/>
    </row>
    <row r="172" spans="2:25" s="580" customFormat="1">
      <c r="B172" s="662"/>
      <c r="C172" s="662"/>
      <c r="Q172" s="582"/>
      <c r="R172" s="582"/>
      <c r="S172" s="582"/>
      <c r="T172" s="582"/>
      <c r="U172" s="582"/>
      <c r="V172" s="582"/>
      <c r="W172" s="582"/>
      <c r="X172" s="582"/>
      <c r="Y172" s="588"/>
    </row>
    <row r="173" spans="2:25" s="580" customFormat="1" ht="15">
      <c r="B173" s="650" t="s">
        <v>767</v>
      </c>
      <c r="C173" s="650"/>
      <c r="E173" s="581">
        <v>2040</v>
      </c>
      <c r="Q173" s="663">
        <v>2040</v>
      </c>
      <c r="R173" s="663"/>
      <c r="S173" s="582"/>
      <c r="T173" s="663">
        <v>2040</v>
      </c>
      <c r="U173" s="663"/>
      <c r="V173" s="582"/>
      <c r="W173" s="663">
        <v>2040</v>
      </c>
      <c r="X173" s="663"/>
      <c r="Y173" s="588">
        <f>SUM(Q152:R173)</f>
        <v>641968</v>
      </c>
    </row>
    <row r="174" spans="2:25">
      <c r="B174" s="650"/>
      <c r="C174" s="650"/>
    </row>
    <row r="175" spans="2:25" ht="15">
      <c r="B175" s="650" t="s">
        <v>766</v>
      </c>
      <c r="C175" s="650"/>
      <c r="E175" s="566">
        <v>60000</v>
      </c>
      <c r="Q175" s="652">
        <v>60000</v>
      </c>
      <c r="R175" s="652"/>
      <c r="T175" s="652">
        <v>60000</v>
      </c>
      <c r="U175" s="652"/>
      <c r="W175" s="652">
        <v>60000</v>
      </c>
      <c r="X175" s="652"/>
    </row>
    <row r="176" spans="2:25">
      <c r="B176" s="650"/>
      <c r="C176" s="650"/>
    </row>
    <row r="177" spans="2:24">
      <c r="B177" s="650"/>
      <c r="C177" s="650"/>
    </row>
    <row r="178" spans="2:24" ht="15">
      <c r="B178" s="650" t="s">
        <v>765</v>
      </c>
      <c r="C178" s="650"/>
      <c r="E178" s="566">
        <v>230000</v>
      </c>
      <c r="Q178" s="652">
        <v>230000</v>
      </c>
      <c r="R178" s="652"/>
      <c r="T178" s="652">
        <v>230000</v>
      </c>
      <c r="U178" s="652"/>
      <c r="W178" s="652">
        <v>230000</v>
      </c>
      <c r="X178" s="652"/>
    </row>
    <row r="179" spans="2:24">
      <c r="B179" s="650"/>
      <c r="C179" s="650"/>
    </row>
    <row r="180" spans="2:24" ht="15">
      <c r="B180" s="650" t="s">
        <v>764</v>
      </c>
      <c r="C180" s="650"/>
      <c r="E180" s="566">
        <v>262135</v>
      </c>
      <c r="Q180" s="652">
        <v>262135</v>
      </c>
      <c r="R180" s="652"/>
      <c r="T180" s="652">
        <v>262135</v>
      </c>
      <c r="U180" s="652"/>
      <c r="W180" s="652">
        <v>262135</v>
      </c>
      <c r="X180" s="652"/>
    </row>
    <row r="181" spans="2:24">
      <c r="B181" s="650"/>
      <c r="C181" s="650"/>
    </row>
    <row r="182" spans="2:24">
      <c r="B182" s="650"/>
      <c r="C182" s="650"/>
    </row>
    <row r="183" spans="2:24" ht="15">
      <c r="B183" s="650" t="s">
        <v>763</v>
      </c>
      <c r="C183" s="650"/>
      <c r="E183" s="566">
        <v>13300</v>
      </c>
      <c r="Q183" s="652">
        <v>13300</v>
      </c>
      <c r="R183" s="652"/>
      <c r="T183" s="652">
        <v>13300</v>
      </c>
      <c r="U183" s="652"/>
      <c r="W183" s="652">
        <v>13300</v>
      </c>
      <c r="X183" s="652"/>
    </row>
    <row r="184" spans="2:24">
      <c r="B184" s="650"/>
      <c r="C184" s="650"/>
    </row>
    <row r="185" spans="2:24" ht="15">
      <c r="B185" s="650" t="s">
        <v>762</v>
      </c>
      <c r="C185" s="650"/>
      <c r="E185" s="566">
        <v>25000</v>
      </c>
      <c r="G185" s="566">
        <v>25000</v>
      </c>
      <c r="I185" s="566">
        <v>25000</v>
      </c>
    </row>
    <row r="186" spans="2:24">
      <c r="B186" s="650"/>
      <c r="C186" s="650"/>
    </row>
    <row r="187" spans="2:24">
      <c r="B187" s="650"/>
      <c r="C187" s="650"/>
    </row>
    <row r="188" spans="2:24" ht="15">
      <c r="B188" s="650" t="s">
        <v>761</v>
      </c>
      <c r="C188" s="650"/>
      <c r="E188" s="566">
        <v>2000</v>
      </c>
      <c r="Q188" s="652">
        <v>2000</v>
      </c>
      <c r="R188" s="652"/>
      <c r="T188" s="652">
        <v>2000</v>
      </c>
      <c r="U188" s="652"/>
      <c r="W188" s="652">
        <v>2000</v>
      </c>
      <c r="X188" s="652"/>
    </row>
    <row r="189" spans="2:24">
      <c r="B189" s="650"/>
      <c r="C189" s="650"/>
    </row>
    <row r="190" spans="2:24" ht="15">
      <c r="B190" s="650" t="s">
        <v>760</v>
      </c>
      <c r="C190" s="650"/>
      <c r="E190" s="566">
        <v>140492</v>
      </c>
      <c r="G190" s="566">
        <v>51644</v>
      </c>
      <c r="I190" s="566">
        <v>51644</v>
      </c>
      <c r="Q190" s="652">
        <v>88848</v>
      </c>
      <c r="R190" s="652"/>
      <c r="T190" s="652">
        <v>88848</v>
      </c>
      <c r="U190" s="652"/>
      <c r="W190" s="652">
        <v>88848</v>
      </c>
      <c r="X190" s="652"/>
    </row>
    <row r="191" spans="2:24">
      <c r="B191" s="650"/>
      <c r="C191" s="650"/>
    </row>
    <row r="192" spans="2:24" ht="15">
      <c r="B192" s="650" t="s">
        <v>759</v>
      </c>
      <c r="C192" s="650"/>
      <c r="E192" s="566">
        <v>200</v>
      </c>
      <c r="G192" s="566">
        <v>200</v>
      </c>
      <c r="I192" s="566">
        <v>200</v>
      </c>
    </row>
    <row r="193" spans="2:24">
      <c r="B193" s="650"/>
      <c r="C193" s="650"/>
    </row>
    <row r="194" spans="2:24" ht="15">
      <c r="B194" s="650" t="s">
        <v>758</v>
      </c>
      <c r="C194" s="650"/>
      <c r="E194" s="566">
        <v>5000</v>
      </c>
      <c r="Q194" s="652">
        <v>5000</v>
      </c>
      <c r="R194" s="652"/>
      <c r="T194" s="652">
        <v>5000</v>
      </c>
      <c r="U194" s="652"/>
      <c r="W194" s="652">
        <v>5000</v>
      </c>
      <c r="X194" s="652"/>
    </row>
    <row r="195" spans="2:24">
      <c r="B195" s="650"/>
      <c r="C195" s="650"/>
    </row>
    <row r="196" spans="2:24" ht="15">
      <c r="B196" s="650" t="s">
        <v>757</v>
      </c>
      <c r="C196" s="650"/>
      <c r="E196" s="566">
        <v>2717</v>
      </c>
      <c r="Q196" s="652">
        <v>2717</v>
      </c>
      <c r="R196" s="652"/>
      <c r="T196" s="652">
        <v>2717</v>
      </c>
      <c r="U196" s="652"/>
      <c r="W196" s="652">
        <v>2717</v>
      </c>
      <c r="X196" s="652"/>
    </row>
    <row r="197" spans="2:24">
      <c r="B197" s="650"/>
      <c r="C197" s="650"/>
    </row>
    <row r="198" spans="2:24" ht="15">
      <c r="B198" s="650" t="s">
        <v>756</v>
      </c>
      <c r="C198" s="650"/>
      <c r="E198" s="566">
        <v>124242</v>
      </c>
      <c r="G198" s="566">
        <v>122964</v>
      </c>
      <c r="I198" s="566">
        <v>122964</v>
      </c>
      <c r="Q198" s="652">
        <v>1278</v>
      </c>
      <c r="R198" s="652"/>
      <c r="T198" s="652">
        <v>1278</v>
      </c>
      <c r="U198" s="652"/>
      <c r="W198" s="652">
        <v>1278</v>
      </c>
      <c r="X198" s="652"/>
    </row>
    <row r="199" spans="2:24">
      <c r="B199" s="650"/>
      <c r="C199" s="650"/>
    </row>
    <row r="200" spans="2:24" ht="15">
      <c r="B200" s="650" t="s">
        <v>755</v>
      </c>
      <c r="C200" s="650"/>
      <c r="E200" s="566">
        <v>314935</v>
      </c>
      <c r="G200" s="566">
        <v>205425</v>
      </c>
      <c r="I200" s="566">
        <v>217905</v>
      </c>
      <c r="Q200" s="652">
        <v>97030</v>
      </c>
      <c r="R200" s="652"/>
      <c r="T200" s="652">
        <v>97030</v>
      </c>
      <c r="U200" s="652"/>
      <c r="W200" s="652">
        <v>97030</v>
      </c>
      <c r="X200" s="652"/>
    </row>
    <row r="201" spans="2:24">
      <c r="B201" s="650"/>
      <c r="C201" s="650"/>
    </row>
    <row r="202" spans="2:24" ht="15">
      <c r="B202" s="650" t="s">
        <v>754</v>
      </c>
      <c r="C202" s="650"/>
      <c r="E202" s="566">
        <v>30000</v>
      </c>
      <c r="Q202" s="652">
        <v>30000</v>
      </c>
      <c r="R202" s="652"/>
      <c r="T202" s="652">
        <v>30000</v>
      </c>
      <c r="U202" s="652"/>
      <c r="W202" s="652">
        <v>30000</v>
      </c>
      <c r="X202" s="652"/>
    </row>
    <row r="203" spans="2:24">
      <c r="B203" s="650"/>
      <c r="C203" s="650"/>
    </row>
    <row r="204" spans="2:24">
      <c r="B204" s="650"/>
      <c r="C204" s="650"/>
    </row>
    <row r="205" spans="2:24" ht="15">
      <c r="B205" s="650" t="s">
        <v>753</v>
      </c>
      <c r="C205" s="650"/>
      <c r="E205" s="566">
        <v>1260</v>
      </c>
      <c r="Q205" s="652">
        <v>1260</v>
      </c>
      <c r="R205" s="652"/>
      <c r="T205" s="652">
        <v>1260</v>
      </c>
      <c r="U205" s="652"/>
      <c r="W205" s="652">
        <v>1260</v>
      </c>
      <c r="X205" s="652"/>
    </row>
    <row r="206" spans="2:24">
      <c r="B206" s="650"/>
      <c r="C206" s="650"/>
    </row>
    <row r="207" spans="2:24">
      <c r="B207" s="650"/>
      <c r="C207" s="650"/>
    </row>
    <row r="208" spans="2:24" ht="15">
      <c r="B208" s="650" t="s">
        <v>752</v>
      </c>
      <c r="C208" s="650"/>
      <c r="E208" s="566">
        <v>77760</v>
      </c>
      <c r="Q208" s="652">
        <v>77760</v>
      </c>
      <c r="R208" s="652"/>
      <c r="T208" s="652">
        <v>77760</v>
      </c>
      <c r="U208" s="652"/>
      <c r="W208" s="652">
        <v>77760</v>
      </c>
      <c r="X208" s="652"/>
    </row>
    <row r="209" spans="2:24">
      <c r="B209" s="650"/>
      <c r="C209" s="650"/>
    </row>
    <row r="210" spans="2:24">
      <c r="B210" s="650"/>
      <c r="C210" s="650"/>
    </row>
    <row r="211" spans="2:24" ht="15">
      <c r="B211" s="650" t="s">
        <v>751</v>
      </c>
      <c r="C211" s="650"/>
      <c r="E211" s="566">
        <v>8400</v>
      </c>
      <c r="G211" s="566">
        <v>8400</v>
      </c>
      <c r="I211" s="566">
        <v>8400</v>
      </c>
    </row>
    <row r="212" spans="2:24">
      <c r="B212" s="650"/>
      <c r="C212" s="650"/>
    </row>
    <row r="213" spans="2:24" ht="15">
      <c r="B213" s="650" t="s">
        <v>750</v>
      </c>
      <c r="C213" s="650"/>
      <c r="E213" s="566">
        <v>7165</v>
      </c>
      <c r="Q213" s="652">
        <v>7165</v>
      </c>
      <c r="R213" s="652"/>
      <c r="T213" s="652">
        <v>7165</v>
      </c>
      <c r="U213" s="652"/>
      <c r="W213" s="652">
        <v>7165</v>
      </c>
      <c r="X213" s="652"/>
    </row>
    <row r="214" spans="2:24">
      <c r="B214" s="650"/>
      <c r="C214" s="650"/>
    </row>
    <row r="215" spans="2:24">
      <c r="B215" s="650"/>
      <c r="C215" s="650"/>
    </row>
    <row r="216" spans="2:24" ht="15">
      <c r="B216" s="650" t="s">
        <v>749</v>
      </c>
      <c r="C216" s="650"/>
      <c r="E216" s="566">
        <v>47865</v>
      </c>
      <c r="Q216" s="652">
        <v>47865</v>
      </c>
      <c r="R216" s="652"/>
      <c r="T216" s="652">
        <v>47865</v>
      </c>
      <c r="U216" s="652"/>
      <c r="W216" s="652">
        <v>47865</v>
      </c>
      <c r="X216" s="652"/>
    </row>
    <row r="217" spans="2:24">
      <c r="B217" s="650"/>
      <c r="C217" s="650"/>
    </row>
    <row r="218" spans="2:24">
      <c r="B218" s="650"/>
      <c r="C218" s="650"/>
    </row>
    <row r="219" spans="2:24" ht="15">
      <c r="B219" s="650" t="s">
        <v>748</v>
      </c>
      <c r="C219" s="650"/>
      <c r="E219" s="566">
        <v>123920</v>
      </c>
      <c r="G219" s="566">
        <v>123920</v>
      </c>
      <c r="I219" s="566">
        <v>123920</v>
      </c>
    </row>
    <row r="220" spans="2:24">
      <c r="B220" s="650"/>
      <c r="C220" s="650"/>
    </row>
    <row r="221" spans="2:24">
      <c r="B221" s="650"/>
      <c r="C221" s="650"/>
    </row>
    <row r="222" spans="2:24" ht="15">
      <c r="B222" s="650" t="s">
        <v>747</v>
      </c>
      <c r="C222" s="650"/>
      <c r="E222" s="566">
        <v>9800</v>
      </c>
      <c r="Q222" s="652">
        <v>9800</v>
      </c>
      <c r="R222" s="652"/>
      <c r="T222" s="652">
        <v>9800</v>
      </c>
      <c r="U222" s="652"/>
      <c r="W222" s="652">
        <v>9800</v>
      </c>
      <c r="X222" s="652"/>
    </row>
    <row r="223" spans="2:24">
      <c r="B223" s="650"/>
      <c r="C223" s="650"/>
    </row>
    <row r="224" spans="2:24">
      <c r="B224" s="650"/>
      <c r="C224" s="650"/>
    </row>
    <row r="225" spans="2:24" ht="15">
      <c r="B225" s="650" t="s">
        <v>746</v>
      </c>
      <c r="C225" s="650"/>
      <c r="E225" s="566">
        <v>10000</v>
      </c>
      <c r="Q225" s="652">
        <v>10000</v>
      </c>
      <c r="R225" s="652"/>
      <c r="T225" s="652">
        <v>10000</v>
      </c>
      <c r="U225" s="652"/>
      <c r="W225" s="652">
        <v>10000</v>
      </c>
      <c r="X225" s="652"/>
    </row>
    <row r="226" spans="2:24">
      <c r="B226" s="650"/>
      <c r="C226" s="650"/>
    </row>
    <row r="227" spans="2:24">
      <c r="B227" s="650"/>
      <c r="C227" s="650"/>
    </row>
    <row r="228" spans="2:24" ht="15">
      <c r="B228" s="650" t="s">
        <v>745</v>
      </c>
      <c r="C228" s="650"/>
      <c r="E228" s="566">
        <v>26880</v>
      </c>
      <c r="Q228" s="652">
        <v>26880</v>
      </c>
      <c r="R228" s="652"/>
      <c r="T228" s="652">
        <v>26880</v>
      </c>
      <c r="U228" s="652"/>
      <c r="W228" s="652">
        <v>26880</v>
      </c>
      <c r="X228" s="652"/>
    </row>
    <row r="229" spans="2:24">
      <c r="B229" s="650"/>
      <c r="C229" s="650"/>
    </row>
    <row r="230" spans="2:24">
      <c r="B230" s="650"/>
      <c r="C230" s="650"/>
    </row>
    <row r="231" spans="2:24" ht="15">
      <c r="B231" s="650" t="s">
        <v>744</v>
      </c>
      <c r="C231" s="650"/>
      <c r="E231" s="566">
        <v>5000</v>
      </c>
      <c r="Q231" s="652">
        <v>5000</v>
      </c>
      <c r="R231" s="652"/>
      <c r="T231" s="652">
        <v>5000</v>
      </c>
      <c r="U231" s="652"/>
      <c r="W231" s="652">
        <v>5000</v>
      </c>
      <c r="X231" s="652"/>
    </row>
    <row r="232" spans="2:24">
      <c r="B232" s="650"/>
      <c r="C232" s="650"/>
    </row>
    <row r="233" spans="2:24">
      <c r="B233" s="650"/>
      <c r="C233" s="650"/>
    </row>
    <row r="234" spans="2:24" ht="15">
      <c r="B234" s="650" t="s">
        <v>743</v>
      </c>
      <c r="C234" s="650"/>
      <c r="E234" s="566">
        <v>4000</v>
      </c>
      <c r="Q234" s="652">
        <v>4000</v>
      </c>
      <c r="R234" s="652"/>
      <c r="T234" s="652">
        <v>4000</v>
      </c>
      <c r="U234" s="652"/>
      <c r="W234" s="652">
        <v>4000</v>
      </c>
      <c r="X234" s="652"/>
    </row>
    <row r="235" spans="2:24">
      <c r="B235" s="650"/>
      <c r="C235" s="650"/>
    </row>
    <row r="236" spans="2:24">
      <c r="B236" s="650"/>
      <c r="C236" s="650"/>
    </row>
    <row r="237" spans="2:24" ht="15">
      <c r="B237" s="650" t="s">
        <v>742</v>
      </c>
      <c r="C237" s="650"/>
      <c r="E237" s="566">
        <v>240000</v>
      </c>
      <c r="Q237" s="652">
        <v>240000</v>
      </c>
      <c r="R237" s="652"/>
      <c r="T237" s="652">
        <v>240000</v>
      </c>
      <c r="U237" s="652"/>
      <c r="W237" s="652">
        <v>240000</v>
      </c>
      <c r="X237" s="652"/>
    </row>
    <row r="238" spans="2:24">
      <c r="B238" s="650"/>
      <c r="C238" s="650"/>
    </row>
    <row r="239" spans="2:24">
      <c r="B239" s="650"/>
      <c r="C239" s="650"/>
    </row>
    <row r="240" spans="2:24" ht="15">
      <c r="B240" s="650" t="s">
        <v>741</v>
      </c>
      <c r="C240" s="650"/>
      <c r="E240" s="566">
        <v>5000</v>
      </c>
      <c r="Q240" s="652">
        <v>5000</v>
      </c>
      <c r="R240" s="652"/>
      <c r="T240" s="652">
        <v>5000</v>
      </c>
      <c r="U240" s="652"/>
      <c r="W240" s="652">
        <v>5000</v>
      </c>
      <c r="X240" s="652"/>
    </row>
    <row r="241" spans="2:24">
      <c r="B241" s="650"/>
      <c r="C241" s="650"/>
    </row>
    <row r="242" spans="2:24">
      <c r="B242" s="650"/>
      <c r="C242" s="650"/>
    </row>
    <row r="243" spans="2:24" ht="15">
      <c r="B243" s="650" t="s">
        <v>740</v>
      </c>
      <c r="C243" s="650"/>
      <c r="E243" s="566">
        <v>20885</v>
      </c>
      <c r="Q243" s="652">
        <v>20885</v>
      </c>
      <c r="R243" s="652"/>
      <c r="T243" s="652">
        <v>20885</v>
      </c>
      <c r="U243" s="652"/>
      <c r="W243" s="652">
        <v>20885</v>
      </c>
      <c r="X243" s="652"/>
    </row>
    <row r="244" spans="2:24">
      <c r="B244" s="650"/>
      <c r="C244" s="650"/>
    </row>
    <row r="245" spans="2:24" ht="15">
      <c r="B245" s="650" t="s">
        <v>739</v>
      </c>
      <c r="C245" s="650"/>
      <c r="E245" s="566">
        <v>93600</v>
      </c>
      <c r="Q245" s="652">
        <v>93600</v>
      </c>
      <c r="R245" s="652"/>
      <c r="T245" s="652">
        <v>93600</v>
      </c>
      <c r="U245" s="652"/>
      <c r="W245" s="652">
        <v>93600</v>
      </c>
      <c r="X245" s="652"/>
    </row>
    <row r="246" spans="2:24">
      <c r="B246" s="650"/>
      <c r="C246" s="650"/>
    </row>
    <row r="247" spans="2:24">
      <c r="B247" s="650"/>
      <c r="C247" s="650"/>
    </row>
    <row r="248" spans="2:24" ht="15">
      <c r="B248" s="650" t="s">
        <v>738</v>
      </c>
      <c r="C248" s="650"/>
      <c r="E248" s="566">
        <v>10000</v>
      </c>
      <c r="G248" s="566">
        <v>10000</v>
      </c>
      <c r="I248" s="566">
        <v>10000</v>
      </c>
    </row>
    <row r="249" spans="2:24">
      <c r="B249" s="650"/>
      <c r="C249" s="650"/>
    </row>
    <row r="250" spans="2:24">
      <c r="B250" s="650"/>
      <c r="C250" s="650"/>
    </row>
    <row r="251" spans="2:24" ht="15">
      <c r="B251" s="650" t="s">
        <v>737</v>
      </c>
      <c r="C251" s="650"/>
      <c r="E251" s="566">
        <v>9102</v>
      </c>
      <c r="Q251" s="652">
        <v>9102</v>
      </c>
      <c r="R251" s="652"/>
      <c r="T251" s="652">
        <v>9102</v>
      </c>
      <c r="U251" s="652"/>
      <c r="W251" s="652">
        <v>9102</v>
      </c>
      <c r="X251" s="652"/>
    </row>
    <row r="252" spans="2:24">
      <c r="B252" s="650"/>
      <c r="C252" s="650"/>
    </row>
    <row r="253" spans="2:24">
      <c r="B253" s="650"/>
      <c r="C253" s="650"/>
    </row>
    <row r="254" spans="2:24" ht="15">
      <c r="B254" s="650" t="s">
        <v>736</v>
      </c>
      <c r="C254" s="650"/>
      <c r="E254" s="566">
        <v>39332</v>
      </c>
      <c r="Q254" s="652">
        <v>39332</v>
      </c>
      <c r="R254" s="652"/>
      <c r="T254" s="652">
        <v>39332</v>
      </c>
      <c r="U254" s="652"/>
      <c r="W254" s="652">
        <v>39332</v>
      </c>
      <c r="X254" s="652"/>
    </row>
    <row r="255" spans="2:24">
      <c r="B255" s="650"/>
      <c r="C255" s="650"/>
    </row>
    <row r="256" spans="2:24">
      <c r="B256" s="650"/>
      <c r="C256" s="650"/>
    </row>
    <row r="257" spans="2:24" ht="15">
      <c r="B257" s="650" t="s">
        <v>735</v>
      </c>
      <c r="C257" s="650"/>
      <c r="E257" s="566">
        <v>2468</v>
      </c>
      <c r="Q257" s="652">
        <v>2468</v>
      </c>
      <c r="R257" s="652"/>
      <c r="T257" s="652">
        <v>2468</v>
      </c>
      <c r="U257" s="652"/>
      <c r="W257" s="652">
        <v>2468</v>
      </c>
      <c r="X257" s="652"/>
    </row>
    <row r="258" spans="2:24">
      <c r="B258" s="650"/>
      <c r="C258" s="650"/>
    </row>
    <row r="259" spans="2:24">
      <c r="B259" s="650"/>
      <c r="C259" s="650"/>
    </row>
    <row r="260" spans="2:24" ht="15">
      <c r="B260" s="650" t="s">
        <v>734</v>
      </c>
      <c r="C260" s="650"/>
      <c r="E260" s="566">
        <v>80000</v>
      </c>
      <c r="Q260" s="652">
        <v>80000</v>
      </c>
      <c r="R260" s="652"/>
      <c r="T260" s="652">
        <v>80000</v>
      </c>
      <c r="U260" s="652"/>
      <c r="W260" s="652">
        <v>80000</v>
      </c>
      <c r="X260" s="652"/>
    </row>
    <row r="261" spans="2:24">
      <c r="B261" s="650"/>
      <c r="C261" s="650"/>
    </row>
    <row r="262" spans="2:24">
      <c r="B262" s="650"/>
      <c r="C262" s="650"/>
    </row>
    <row r="263" spans="2:24" ht="15">
      <c r="B263" s="650" t="s">
        <v>733</v>
      </c>
      <c r="C263" s="650"/>
      <c r="E263" s="566">
        <v>2230</v>
      </c>
      <c r="G263" s="566">
        <v>2230</v>
      </c>
      <c r="I263" s="566">
        <v>2230</v>
      </c>
    </row>
    <row r="264" spans="2:24">
      <c r="B264" s="650"/>
      <c r="C264" s="650"/>
    </row>
    <row r="265" spans="2:24" ht="15">
      <c r="B265" s="650" t="s">
        <v>732</v>
      </c>
      <c r="C265" s="650"/>
      <c r="E265" s="566">
        <v>29970</v>
      </c>
      <c r="Q265" s="652">
        <v>29970</v>
      </c>
      <c r="R265" s="652"/>
      <c r="T265" s="652">
        <v>29970</v>
      </c>
      <c r="U265" s="652"/>
      <c r="W265" s="652">
        <v>29970</v>
      </c>
      <c r="X265" s="652"/>
    </row>
    <row r="266" spans="2:24">
      <c r="B266" s="650"/>
      <c r="C266" s="650"/>
    </row>
    <row r="267" spans="2:24">
      <c r="B267" s="650"/>
      <c r="C267" s="650"/>
    </row>
    <row r="268" spans="2:24" ht="15">
      <c r="B268" s="650" t="s">
        <v>731</v>
      </c>
      <c r="C268" s="650"/>
      <c r="E268" s="566">
        <v>10290</v>
      </c>
      <c r="Q268" s="652">
        <v>10290</v>
      </c>
      <c r="R268" s="652"/>
      <c r="T268" s="652">
        <v>10290</v>
      </c>
      <c r="U268" s="652"/>
      <c r="W268" s="652">
        <v>10290</v>
      </c>
      <c r="X268" s="652"/>
    </row>
    <row r="269" spans="2:24">
      <c r="B269" s="650"/>
      <c r="C269" s="650"/>
    </row>
    <row r="270" spans="2:24">
      <c r="B270" s="650"/>
      <c r="C270" s="650"/>
    </row>
    <row r="271" spans="2:24" ht="15">
      <c r="B271" s="650" t="s">
        <v>730</v>
      </c>
      <c r="C271" s="650"/>
      <c r="E271" s="566">
        <v>21896</v>
      </c>
      <c r="Q271" s="652">
        <v>21896</v>
      </c>
      <c r="R271" s="652"/>
      <c r="T271" s="652">
        <v>21896</v>
      </c>
      <c r="U271" s="652"/>
      <c r="W271" s="652">
        <v>21896</v>
      </c>
      <c r="X271" s="652"/>
    </row>
    <row r="272" spans="2:24">
      <c r="B272" s="650"/>
      <c r="C272" s="650"/>
    </row>
    <row r="273" spans="2:24">
      <c r="B273" s="650"/>
      <c r="C273" s="650"/>
    </row>
    <row r="274" spans="2:24" ht="15">
      <c r="B274" s="650" t="s">
        <v>729</v>
      </c>
      <c r="C274" s="650"/>
      <c r="E274" s="566">
        <v>5000</v>
      </c>
      <c r="Q274" s="652">
        <v>5000</v>
      </c>
      <c r="R274" s="652"/>
      <c r="T274" s="652">
        <v>5000</v>
      </c>
      <c r="U274" s="652"/>
      <c r="W274" s="652">
        <v>5000</v>
      </c>
      <c r="X274" s="652"/>
    </row>
    <row r="275" spans="2:24">
      <c r="B275" s="650"/>
      <c r="C275" s="650"/>
    </row>
    <row r="276" spans="2:24">
      <c r="B276" s="650"/>
      <c r="C276" s="650"/>
    </row>
    <row r="277" spans="2:24" ht="15">
      <c r="B277" s="565" t="s">
        <v>728</v>
      </c>
      <c r="E277" s="564">
        <v>69528952</v>
      </c>
      <c r="G277" s="564">
        <v>52892889</v>
      </c>
      <c r="I277" s="564">
        <v>52092145</v>
      </c>
      <c r="M277" s="664">
        <v>1656386</v>
      </c>
      <c r="N277" s="664"/>
      <c r="O277" s="664"/>
      <c r="Q277" s="664">
        <v>17436807</v>
      </c>
      <c r="R277" s="664"/>
      <c r="T277" s="664">
        <v>17436807</v>
      </c>
      <c r="U277" s="664"/>
      <c r="W277" s="664">
        <v>15780421</v>
      </c>
      <c r="X277" s="664"/>
    </row>
  </sheetData>
  <mergeCells count="401">
    <mergeCell ref="B274:C276"/>
    <mergeCell ref="Q274:R274"/>
    <mergeCell ref="T274:U274"/>
    <mergeCell ref="W274:X274"/>
    <mergeCell ref="M277:O277"/>
    <mergeCell ref="Q277:R277"/>
    <mergeCell ref="T277:U277"/>
    <mergeCell ref="W277:X277"/>
    <mergeCell ref="B265:C267"/>
    <mergeCell ref="Q265:R265"/>
    <mergeCell ref="T265:U265"/>
    <mergeCell ref="W265:X265"/>
    <mergeCell ref="B268:C270"/>
    <mergeCell ref="Q268:R268"/>
    <mergeCell ref="T268:U268"/>
    <mergeCell ref="W268:X268"/>
    <mergeCell ref="B271:C273"/>
    <mergeCell ref="Q271:R271"/>
    <mergeCell ref="T271:U271"/>
    <mergeCell ref="W271:X271"/>
    <mergeCell ref="B257:C259"/>
    <mergeCell ref="Q257:R257"/>
    <mergeCell ref="T257:U257"/>
    <mergeCell ref="W257:X257"/>
    <mergeCell ref="B260:C262"/>
    <mergeCell ref="Q260:R260"/>
    <mergeCell ref="T260:U260"/>
    <mergeCell ref="W260:X260"/>
    <mergeCell ref="B263:C264"/>
    <mergeCell ref="B248:C250"/>
    <mergeCell ref="B251:C253"/>
    <mergeCell ref="Q251:R251"/>
    <mergeCell ref="T251:U251"/>
    <mergeCell ref="W251:X251"/>
    <mergeCell ref="B254:C256"/>
    <mergeCell ref="Q254:R254"/>
    <mergeCell ref="T254:U254"/>
    <mergeCell ref="W254:X254"/>
    <mergeCell ref="B240:C242"/>
    <mergeCell ref="Q240:R240"/>
    <mergeCell ref="T240:U240"/>
    <mergeCell ref="W240:X240"/>
    <mergeCell ref="B243:C244"/>
    <mergeCell ref="Q243:R243"/>
    <mergeCell ref="T243:U243"/>
    <mergeCell ref="W243:X243"/>
    <mergeCell ref="B245:C247"/>
    <mergeCell ref="Q245:R245"/>
    <mergeCell ref="T245:U245"/>
    <mergeCell ref="W245:X245"/>
    <mergeCell ref="B231:C233"/>
    <mergeCell ref="Q231:R231"/>
    <mergeCell ref="T231:U231"/>
    <mergeCell ref="W231:X231"/>
    <mergeCell ref="B234:C236"/>
    <mergeCell ref="Q234:R234"/>
    <mergeCell ref="T234:U234"/>
    <mergeCell ref="W234:X234"/>
    <mergeCell ref="B237:C239"/>
    <mergeCell ref="Q237:R237"/>
    <mergeCell ref="T237:U237"/>
    <mergeCell ref="W237:X237"/>
    <mergeCell ref="B222:C224"/>
    <mergeCell ref="Q222:R222"/>
    <mergeCell ref="T222:U222"/>
    <mergeCell ref="W222:X222"/>
    <mergeCell ref="B225:C227"/>
    <mergeCell ref="Q225:R225"/>
    <mergeCell ref="T225:U225"/>
    <mergeCell ref="W225:X225"/>
    <mergeCell ref="B228:C230"/>
    <mergeCell ref="Q228:R228"/>
    <mergeCell ref="T228:U228"/>
    <mergeCell ref="W228:X228"/>
    <mergeCell ref="B213:C215"/>
    <mergeCell ref="Q213:R213"/>
    <mergeCell ref="T213:U213"/>
    <mergeCell ref="W213:X213"/>
    <mergeCell ref="B216:C218"/>
    <mergeCell ref="Q216:R216"/>
    <mergeCell ref="T216:U216"/>
    <mergeCell ref="W216:X216"/>
    <mergeCell ref="B219:C221"/>
    <mergeCell ref="B205:C207"/>
    <mergeCell ref="Q205:R205"/>
    <mergeCell ref="T205:U205"/>
    <mergeCell ref="W205:X205"/>
    <mergeCell ref="B208:C210"/>
    <mergeCell ref="Q208:R208"/>
    <mergeCell ref="T208:U208"/>
    <mergeCell ref="W208:X208"/>
    <mergeCell ref="B211:C212"/>
    <mergeCell ref="B198:C199"/>
    <mergeCell ref="Q198:R198"/>
    <mergeCell ref="T198:U198"/>
    <mergeCell ref="W198:X198"/>
    <mergeCell ref="B200:C201"/>
    <mergeCell ref="Q200:R200"/>
    <mergeCell ref="T200:U200"/>
    <mergeCell ref="W200:X200"/>
    <mergeCell ref="B202:C204"/>
    <mergeCell ref="Q202:R202"/>
    <mergeCell ref="T202:U202"/>
    <mergeCell ref="W202:X202"/>
    <mergeCell ref="B192:C193"/>
    <mergeCell ref="B194:C195"/>
    <mergeCell ref="Q194:R194"/>
    <mergeCell ref="T194:U194"/>
    <mergeCell ref="W194:X194"/>
    <mergeCell ref="B196:C197"/>
    <mergeCell ref="Q196:R196"/>
    <mergeCell ref="T196:U196"/>
    <mergeCell ref="W196:X196"/>
    <mergeCell ref="B185:C187"/>
    <mergeCell ref="B188:C189"/>
    <mergeCell ref="Q188:R188"/>
    <mergeCell ref="T188:U188"/>
    <mergeCell ref="W188:X188"/>
    <mergeCell ref="B190:C191"/>
    <mergeCell ref="Q190:R190"/>
    <mergeCell ref="T190:U190"/>
    <mergeCell ref="W190:X190"/>
    <mergeCell ref="B178:C179"/>
    <mergeCell ref="Q178:R178"/>
    <mergeCell ref="T178:U178"/>
    <mergeCell ref="W178:X178"/>
    <mergeCell ref="B180:C182"/>
    <mergeCell ref="Q180:R180"/>
    <mergeCell ref="T180:U180"/>
    <mergeCell ref="W180:X180"/>
    <mergeCell ref="B183:C184"/>
    <mergeCell ref="Q183:R183"/>
    <mergeCell ref="T183:U183"/>
    <mergeCell ref="W183:X183"/>
    <mergeCell ref="B170:C172"/>
    <mergeCell ref="Q170:R170"/>
    <mergeCell ref="T170:U170"/>
    <mergeCell ref="W170:X170"/>
    <mergeCell ref="B173:C174"/>
    <mergeCell ref="Q173:R173"/>
    <mergeCell ref="T173:U173"/>
    <mergeCell ref="W173:X173"/>
    <mergeCell ref="B175:C177"/>
    <mergeCell ref="Q175:R175"/>
    <mergeCell ref="T175:U175"/>
    <mergeCell ref="W175:X175"/>
    <mergeCell ref="B156:C157"/>
    <mergeCell ref="B158:C159"/>
    <mergeCell ref="B160:C161"/>
    <mergeCell ref="B162:C163"/>
    <mergeCell ref="B164:C166"/>
    <mergeCell ref="Q164:R164"/>
    <mergeCell ref="T164:U164"/>
    <mergeCell ref="W164:X164"/>
    <mergeCell ref="B167:C169"/>
    <mergeCell ref="Q167:R167"/>
    <mergeCell ref="T167:U167"/>
    <mergeCell ref="W167:X167"/>
    <mergeCell ref="B150:C151"/>
    <mergeCell ref="Q150:R150"/>
    <mergeCell ref="T150:U150"/>
    <mergeCell ref="W150:X150"/>
    <mergeCell ref="B152:C153"/>
    <mergeCell ref="Q152:R152"/>
    <mergeCell ref="T152:U152"/>
    <mergeCell ref="W152:X152"/>
    <mergeCell ref="B154:C155"/>
    <mergeCell ref="B144:C145"/>
    <mergeCell ref="Q144:R144"/>
    <mergeCell ref="T144:U144"/>
    <mergeCell ref="W144:X144"/>
    <mergeCell ref="B146:C147"/>
    <mergeCell ref="Q146:R146"/>
    <mergeCell ref="T146:U146"/>
    <mergeCell ref="W146:X146"/>
    <mergeCell ref="B148:C149"/>
    <mergeCell ref="B138:C139"/>
    <mergeCell ref="Q138:R138"/>
    <mergeCell ref="T138:U138"/>
    <mergeCell ref="W138:X138"/>
    <mergeCell ref="B140:C141"/>
    <mergeCell ref="Q140:R140"/>
    <mergeCell ref="T140:U140"/>
    <mergeCell ref="W140:X140"/>
    <mergeCell ref="B142:C143"/>
    <mergeCell ref="Q142:R142"/>
    <mergeCell ref="T142:U142"/>
    <mergeCell ref="W142:X142"/>
    <mergeCell ref="B132:C133"/>
    <mergeCell ref="Q132:R132"/>
    <mergeCell ref="T132:U132"/>
    <mergeCell ref="W132:X132"/>
    <mergeCell ref="B134:C135"/>
    <mergeCell ref="Q134:R134"/>
    <mergeCell ref="T134:U134"/>
    <mergeCell ref="W134:X134"/>
    <mergeCell ref="B136:C137"/>
    <mergeCell ref="M136:O136"/>
    <mergeCell ref="Q136:R136"/>
    <mergeCell ref="T136:U136"/>
    <mergeCell ref="W136:X136"/>
    <mergeCell ref="B124:C126"/>
    <mergeCell ref="Q124:R124"/>
    <mergeCell ref="T124:U124"/>
    <mergeCell ref="W124:X124"/>
    <mergeCell ref="B127:C128"/>
    <mergeCell ref="B129:C131"/>
    <mergeCell ref="Q129:R129"/>
    <mergeCell ref="T129:U129"/>
    <mergeCell ref="W129:X129"/>
    <mergeCell ref="B118:C119"/>
    <mergeCell ref="Q118:R118"/>
    <mergeCell ref="T118:U118"/>
    <mergeCell ref="W118:X118"/>
    <mergeCell ref="B120:C121"/>
    <mergeCell ref="Q120:R120"/>
    <mergeCell ref="T120:U120"/>
    <mergeCell ref="W120:X120"/>
    <mergeCell ref="B122:C123"/>
    <mergeCell ref="B111:C112"/>
    <mergeCell ref="Q111:R111"/>
    <mergeCell ref="T111:U111"/>
    <mergeCell ref="W111:X111"/>
    <mergeCell ref="B113:C115"/>
    <mergeCell ref="Q113:R113"/>
    <mergeCell ref="T113:U113"/>
    <mergeCell ref="W113:X113"/>
    <mergeCell ref="B116:C117"/>
    <mergeCell ref="Q116:R116"/>
    <mergeCell ref="T116:U116"/>
    <mergeCell ref="W116:X116"/>
    <mergeCell ref="B104:C105"/>
    <mergeCell ref="B106:C108"/>
    <mergeCell ref="Q106:R106"/>
    <mergeCell ref="T106:U106"/>
    <mergeCell ref="W106:X106"/>
    <mergeCell ref="B109:C110"/>
    <mergeCell ref="Q109:R109"/>
    <mergeCell ref="T109:U109"/>
    <mergeCell ref="W109:X109"/>
    <mergeCell ref="B97:C98"/>
    <mergeCell ref="Q97:R97"/>
    <mergeCell ref="T97:U97"/>
    <mergeCell ref="W97:X97"/>
    <mergeCell ref="B99:C100"/>
    <mergeCell ref="Q99:R99"/>
    <mergeCell ref="T99:U99"/>
    <mergeCell ref="W99:X99"/>
    <mergeCell ref="B101:C103"/>
    <mergeCell ref="B90:C91"/>
    <mergeCell ref="Q90:R90"/>
    <mergeCell ref="T90:U90"/>
    <mergeCell ref="W90:X90"/>
    <mergeCell ref="B92:C93"/>
    <mergeCell ref="B94:C96"/>
    <mergeCell ref="Q94:R94"/>
    <mergeCell ref="T94:U94"/>
    <mergeCell ref="W94:X94"/>
    <mergeCell ref="B83:C84"/>
    <mergeCell ref="Q83:R83"/>
    <mergeCell ref="T83:U83"/>
    <mergeCell ref="W83:X83"/>
    <mergeCell ref="B85:C86"/>
    <mergeCell ref="Q85:R85"/>
    <mergeCell ref="T85:U85"/>
    <mergeCell ref="W85:X85"/>
    <mergeCell ref="B87:C89"/>
    <mergeCell ref="B77:C78"/>
    <mergeCell ref="Q77:R77"/>
    <mergeCell ref="T77:U77"/>
    <mergeCell ref="W77:X77"/>
    <mergeCell ref="B79:C80"/>
    <mergeCell ref="Q79:R79"/>
    <mergeCell ref="T79:U79"/>
    <mergeCell ref="W79:X79"/>
    <mergeCell ref="B81:C82"/>
    <mergeCell ref="Q81:R81"/>
    <mergeCell ref="T81:U81"/>
    <mergeCell ref="W81:X81"/>
    <mergeCell ref="B71:C72"/>
    <mergeCell ref="Q71:R71"/>
    <mergeCell ref="T71:U71"/>
    <mergeCell ref="W71:X71"/>
    <mergeCell ref="B73:C74"/>
    <mergeCell ref="Q73:R73"/>
    <mergeCell ref="T73:U73"/>
    <mergeCell ref="W73:X73"/>
    <mergeCell ref="B75:C76"/>
    <mergeCell ref="Q75:R75"/>
    <mergeCell ref="T75:U75"/>
    <mergeCell ref="W75:X75"/>
    <mergeCell ref="B65:C66"/>
    <mergeCell ref="Q65:R65"/>
    <mergeCell ref="T65:U65"/>
    <mergeCell ref="W65:X65"/>
    <mergeCell ref="B67:C68"/>
    <mergeCell ref="Q67:R67"/>
    <mergeCell ref="T67:U67"/>
    <mergeCell ref="W67:X67"/>
    <mergeCell ref="B69:C70"/>
    <mergeCell ref="Q69:R69"/>
    <mergeCell ref="T69:U69"/>
    <mergeCell ref="W69:X69"/>
    <mergeCell ref="B59:C60"/>
    <mergeCell ref="Q59:R59"/>
    <mergeCell ref="T59:U59"/>
    <mergeCell ref="W59:X59"/>
    <mergeCell ref="B61:C62"/>
    <mergeCell ref="Q61:R61"/>
    <mergeCell ref="T61:U61"/>
    <mergeCell ref="W61:X61"/>
    <mergeCell ref="B63:C64"/>
    <mergeCell ref="Q63:R63"/>
    <mergeCell ref="T63:U63"/>
    <mergeCell ref="W63:X63"/>
    <mergeCell ref="B51:C52"/>
    <mergeCell ref="Q51:R51"/>
    <mergeCell ref="T51:U51"/>
    <mergeCell ref="W51:X51"/>
    <mergeCell ref="B53:C54"/>
    <mergeCell ref="B55:C56"/>
    <mergeCell ref="B57:C58"/>
    <mergeCell ref="Q57:R57"/>
    <mergeCell ref="T57:U57"/>
    <mergeCell ref="W57:X57"/>
    <mergeCell ref="B45:C46"/>
    <mergeCell ref="B47:C48"/>
    <mergeCell ref="Q47:R47"/>
    <mergeCell ref="T47:U47"/>
    <mergeCell ref="W47:X47"/>
    <mergeCell ref="B49:C50"/>
    <mergeCell ref="Q49:R49"/>
    <mergeCell ref="T49:U49"/>
    <mergeCell ref="W49:X49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Q43:R43"/>
    <mergeCell ref="T43:U43"/>
    <mergeCell ref="W43:X43"/>
    <mergeCell ref="B35:C36"/>
    <mergeCell ref="M35:O35"/>
    <mergeCell ref="Q35:R35"/>
    <mergeCell ref="T35:U35"/>
    <mergeCell ref="W35:X35"/>
    <mergeCell ref="B37:C38"/>
    <mergeCell ref="Q37:R37"/>
    <mergeCell ref="T37:U37"/>
    <mergeCell ref="W37:X37"/>
    <mergeCell ref="B29:C30"/>
    <mergeCell ref="Q29:R29"/>
    <mergeCell ref="T29:U29"/>
    <mergeCell ref="W29:X29"/>
    <mergeCell ref="B31:C32"/>
    <mergeCell ref="Q31:R31"/>
    <mergeCell ref="T31:U31"/>
    <mergeCell ref="W31:X31"/>
    <mergeCell ref="B33:C34"/>
    <mergeCell ref="M33:O33"/>
    <mergeCell ref="Q33:R33"/>
    <mergeCell ref="T33:U33"/>
    <mergeCell ref="B21:C22"/>
    <mergeCell ref="B23:C24"/>
    <mergeCell ref="M23:O23"/>
    <mergeCell ref="W23:X23"/>
    <mergeCell ref="B25:C26"/>
    <mergeCell ref="B27:C28"/>
    <mergeCell ref="Q27:R27"/>
    <mergeCell ref="T27:U27"/>
    <mergeCell ref="W27:X27"/>
    <mergeCell ref="B11:C12"/>
    <mergeCell ref="B13:C14"/>
    <mergeCell ref="M13:O13"/>
    <mergeCell ref="Q13:R13"/>
    <mergeCell ref="T13:U13"/>
    <mergeCell ref="W13:X13"/>
    <mergeCell ref="B15:C16"/>
    <mergeCell ref="B17:C18"/>
    <mergeCell ref="B19:C20"/>
    <mergeCell ref="Q19:R19"/>
    <mergeCell ref="T19:U19"/>
    <mergeCell ref="W19:X19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horizontalDpi="0" verticalDpi="0" copies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zoomScaleNormal="100" workbookViewId="0">
      <selection activeCell="D7" sqref="D7"/>
    </sheetView>
  </sheetViews>
  <sheetFormatPr defaultRowHeight="14.25"/>
  <cols>
    <col min="1" max="1" width="47.42578125" customWidth="1"/>
    <col min="2" max="2" width="65.85546875" customWidth="1"/>
    <col min="3" max="3" width="21.42578125" style="149" bestFit="1" customWidth="1"/>
    <col min="4" max="5" width="11.5703125" style="131" customWidth="1"/>
    <col min="6" max="6" width="12.85546875" style="131" bestFit="1" customWidth="1"/>
    <col min="7" max="7" width="17.85546875" style="131" customWidth="1"/>
    <col min="8" max="8" width="18.7109375" bestFit="1" customWidth="1"/>
    <col min="9" max="9" width="17.42578125" bestFit="1" customWidth="1"/>
  </cols>
  <sheetData>
    <row r="1" spans="1:8">
      <c r="A1" s="618" t="s">
        <v>321</v>
      </c>
      <c r="B1" s="618"/>
    </row>
    <row r="2" spans="1:8">
      <c r="A2" s="619" t="s">
        <v>322</v>
      </c>
      <c r="B2" s="618"/>
    </row>
    <row r="3" spans="1:8">
      <c r="A3" s="618" t="s">
        <v>323</v>
      </c>
      <c r="B3" s="618"/>
    </row>
    <row r="4" spans="1:8" ht="28.5">
      <c r="A4" s="618" t="s">
        <v>324</v>
      </c>
      <c r="B4" s="618"/>
      <c r="C4" s="150" t="s">
        <v>325</v>
      </c>
      <c r="D4" s="162" t="s">
        <v>326</v>
      </c>
      <c r="E4" s="131" t="s">
        <v>327</v>
      </c>
      <c r="F4" s="162" t="s">
        <v>328</v>
      </c>
    </row>
    <row r="5" spans="1:8">
      <c r="A5" s="619" t="s">
        <v>329</v>
      </c>
      <c r="B5" s="618"/>
      <c r="C5" s="151">
        <v>0</v>
      </c>
      <c r="D5" s="152">
        <f>縣庫對帳!P6</f>
        <v>617839</v>
      </c>
      <c r="E5" s="152">
        <v>40000</v>
      </c>
      <c r="F5" s="152">
        <f>庫款差額!C8+庫款差額!C15-庫款差額!C18-庫款差額!C21</f>
        <v>9403000</v>
      </c>
    </row>
    <row r="6" spans="1:8" ht="15" thickBot="1">
      <c r="A6" s="616" t="s">
        <v>330</v>
      </c>
      <c r="B6" s="617"/>
      <c r="C6" s="149" t="s">
        <v>331</v>
      </c>
      <c r="D6" s="164">
        <f>VLOOKUP("銀行存款-縣庫存款",平衡!$E$13:$H$48,4,0)+VLOOKUP("零用及週轉金",平衡!$D$13:$H$48,5,0)</f>
        <v>6988695</v>
      </c>
      <c r="E6" s="164">
        <f>VLOOKUP("淨資產",平衡!$K$13:$T$71,10,0)+C5-VLOOKUP("固定資產",平衡!$B$13:$H$48,7,0)-VLOOKUP("無形資產",平衡!$B$13:$H$46,7,0)</f>
        <v>6988695</v>
      </c>
      <c r="F6" s="135" t="s">
        <v>332</v>
      </c>
    </row>
    <row r="7" spans="1:8" ht="15" thickBot="1">
      <c r="A7" s="616" t="s">
        <v>333</v>
      </c>
      <c r="B7" s="617"/>
      <c r="C7" s="149" t="s">
        <v>334</v>
      </c>
      <c r="D7" s="164">
        <f>VLOOKUP("銀行存款-專戶存款",平衡!$E$13:$H$48,4,0)+VLOOKUP("其他預付款",平衡!$D$13:$H$48,5,0)</f>
        <v>16281265</v>
      </c>
      <c r="E7" s="164">
        <f>VLOOKUP("應付代收款",平衡!$N$13:$T$48,7,0)+VLOOKUP("存入保證金",平衡!$N$13:$T$48,7,0)</f>
        <v>16281265</v>
      </c>
      <c r="F7" s="135" t="s">
        <v>335</v>
      </c>
    </row>
    <row r="8" spans="1:8" ht="20.25" thickBot="1">
      <c r="A8" s="65" t="s">
        <v>123</v>
      </c>
      <c r="B8" s="66" t="s">
        <v>124</v>
      </c>
      <c r="C8" s="149" t="s">
        <v>336</v>
      </c>
      <c r="D8" s="165">
        <f>VLOOKUP("合計：",平衡!$A$13:$H$48,8,0)</f>
        <v>355805108</v>
      </c>
      <c r="E8" s="165">
        <f>VLOOKUP("合計：",平衡!$K$13:$T$48,10,0)</f>
        <v>355805108</v>
      </c>
    </row>
    <row r="9" spans="1:8" ht="17.25" thickBot="1">
      <c r="A9" s="61" t="s">
        <v>125</v>
      </c>
      <c r="B9" s="62" t="s">
        <v>126</v>
      </c>
      <c r="C9" s="149" t="s">
        <v>337</v>
      </c>
      <c r="D9" s="165">
        <f>VLOOKUP("基金用途",餘絀表!$C$16:$T$47,18,0)</f>
        <v>66912321</v>
      </c>
      <c r="E9" s="165">
        <f>VLOOKUP("合       計",各項費用!$D$12:$Q$86,14)</f>
        <v>66912321</v>
      </c>
      <c r="F9" s="165" t="e">
        <f>縣庫對帳!P3</f>
        <v>#N/A</v>
      </c>
    </row>
    <row r="10" spans="1:8" ht="33.75" thickBot="1">
      <c r="A10" s="61" t="s">
        <v>127</v>
      </c>
      <c r="B10" s="62" t="s">
        <v>128</v>
      </c>
      <c r="C10" s="149" t="s">
        <v>338</v>
      </c>
      <c r="D10" s="165">
        <f>VLOOKUP("基金來源",餘絀表!$C$16:$T$47,18,0)</f>
        <v>65284716</v>
      </c>
      <c r="E10" s="165">
        <f>縣庫對帳!N3</f>
        <v>65284716</v>
      </c>
      <c r="F10" s="165"/>
      <c r="G10" s="165"/>
      <c r="H10" s="152">
        <f>D13-E13</f>
        <v>0</v>
      </c>
    </row>
    <row r="11" spans="1:8" ht="27" customHeight="1">
      <c r="A11" s="620" t="s">
        <v>27</v>
      </c>
      <c r="B11" s="620" t="s">
        <v>129</v>
      </c>
      <c r="C11" s="149" t="s">
        <v>339</v>
      </c>
      <c r="D11" s="165">
        <f>VLOOKUP("政府撥入收入",餘絀表!$C$16:$T$47,18,0)</f>
        <v>65139255</v>
      </c>
      <c r="E11" s="165"/>
      <c r="F11" s="165">
        <f>VLOOKUP("政府撥入收入",收支!$B$14:$N$64,13,0)</f>
        <v>65139255</v>
      </c>
      <c r="G11" s="165">
        <f>VLOOKUP("政府撥入收入",對照表!$B$1:$E$29,4,0)</f>
        <v>65139255</v>
      </c>
    </row>
    <row r="12" spans="1:8" ht="28.5">
      <c r="A12" s="623"/>
      <c r="B12" s="623"/>
      <c r="C12" s="149" t="s">
        <v>340</v>
      </c>
      <c r="D12" s="165"/>
      <c r="E12" s="165"/>
      <c r="F12" s="165">
        <f>VLOOKUP("收入",收支!$A$14:$N$64,14,0)</f>
        <v>66107283</v>
      </c>
      <c r="G12" s="165">
        <f>VLOOKUP("基金來源",對照表!$A$1:$E$29,5,0)</f>
        <v>66107283</v>
      </c>
    </row>
    <row r="13" spans="1:8">
      <c r="A13" s="623"/>
      <c r="B13" s="623"/>
      <c r="C13" s="149" t="s">
        <v>341</v>
      </c>
      <c r="D13" s="165">
        <f>IF(封面!J10=12,0,VLOOKUP($G$13,平衡!$N$13:$T$48,7,0))</f>
        <v>-5752707</v>
      </c>
      <c r="E13" s="165">
        <f>VLOOKUP("本期賸餘（短絀）",收支!$A$14:$N$53,14,0)</f>
        <v>-5752707</v>
      </c>
      <c r="F13" s="165">
        <f>VLOOKUP("本期賸餘(短絀)",對照表!$A$1:$E$29,5,0)</f>
        <v>-5752707</v>
      </c>
      <c r="G13" s="163" t="str">
        <f>IF(E13&gt;=0,"本期賸餘","本期短絀")</f>
        <v>本期短絀</v>
      </c>
    </row>
    <row r="14" spans="1:8">
      <c r="A14" s="623"/>
      <c r="B14" s="623"/>
      <c r="C14" s="149" t="s">
        <v>342</v>
      </c>
      <c r="D14" s="165">
        <f>IF(封面!J10=12,0,VLOOKUP("本期賸餘(短絀－)",餘絀表!$C$16:$T$50,18,0))</f>
        <v>-1627605</v>
      </c>
      <c r="E14" s="165"/>
      <c r="F14" s="165">
        <f>IF(封面!J10=12,0,VLOOKUP("本期賸餘(短絀)",對照表!$A$1:$C$29,3,0))</f>
        <v>-1627605</v>
      </c>
      <c r="G14" s="163"/>
    </row>
    <row r="15" spans="1:8">
      <c r="A15" s="623"/>
      <c r="B15" s="623"/>
      <c r="C15" s="149" t="s">
        <v>343</v>
      </c>
      <c r="D15" s="165">
        <f>IF(封面!J12=12,0,VLOOKUP($G$15,平衡!$K$13:$T$48,10,0))</f>
        <v>337357656</v>
      </c>
      <c r="E15" s="165">
        <f>IF(封面!J12=12,0,VLOOKUP("期末淨資產",收支!$A$14:$N$53,14,0))</f>
        <v>337357656</v>
      </c>
      <c r="F15" s="165">
        <f>IF(封面!K12=12,0,VLOOKUP("期末基金餘額",對照表!$A$1:$E$42,5,0))</f>
        <v>337357656</v>
      </c>
      <c r="G15" s="163" t="s">
        <v>343</v>
      </c>
    </row>
    <row r="16" spans="1:8" ht="15" thickBot="1">
      <c r="A16" s="624"/>
      <c r="B16" s="624"/>
      <c r="C16" s="149" t="s">
        <v>344</v>
      </c>
      <c r="D16" s="165">
        <f>VLOOKUP("國民教育計畫",主要業務!$B$15:$J$23,7,0)</f>
        <v>10828110</v>
      </c>
      <c r="E16" s="165">
        <f>VLOOKUP("國民教育計畫",餘絀表!$C$16:$T$47,8,0)</f>
        <v>10828110</v>
      </c>
    </row>
    <row r="17" spans="1:9">
      <c r="A17" s="620" t="s">
        <v>141</v>
      </c>
      <c r="B17" s="620" t="s">
        <v>130</v>
      </c>
      <c r="C17" s="149" t="s">
        <v>345</v>
      </c>
      <c r="D17" s="165">
        <f>主要業務!H17</f>
        <v>66912321</v>
      </c>
      <c r="E17" s="165">
        <f>VLOOKUP("國民教育計畫",餘絀表!$C$16:$T$47,18,0)</f>
        <v>66912321</v>
      </c>
    </row>
    <row r="18" spans="1:9">
      <c r="A18" s="621"/>
      <c r="B18" s="623"/>
      <c r="C18" s="149" t="s">
        <v>346</v>
      </c>
      <c r="D18" s="165">
        <f>主要業務!H20</f>
        <v>0</v>
      </c>
      <c r="E18" s="165">
        <f>VLOOKUP("建築及設備計畫",餘絀表!$C$16:$T$47,8,0)</f>
        <v>0</v>
      </c>
    </row>
    <row r="19" spans="1:9">
      <c r="A19" s="621"/>
      <c r="B19" s="623"/>
      <c r="C19" s="149" t="s">
        <v>347</v>
      </c>
      <c r="D19" s="165">
        <f>主要業務!H22</f>
        <v>0</v>
      </c>
      <c r="E19" s="165">
        <f>VLOOKUP("建築及設備計畫",餘絀表!$C$16:$T$47,18,0)</f>
        <v>0</v>
      </c>
    </row>
    <row r="20" spans="1:9">
      <c r="A20" s="621"/>
      <c r="B20" s="623"/>
      <c r="C20" s="149" t="s">
        <v>348</v>
      </c>
      <c r="D20" s="165">
        <f>VLOOKUP("用人費用",各項費用!$F$12:$Q$100,12,0)</f>
        <v>65265185</v>
      </c>
      <c r="E20" s="165">
        <f>VLOOKUP("人事支出",收支!$B$14:$N$64,13,0)</f>
        <v>65265185</v>
      </c>
      <c r="F20" s="165">
        <f>VLOOKUP("用人費用",對照表!$B$1:$E$29,4,0)</f>
        <v>65265185</v>
      </c>
      <c r="G20" s="361" t="s">
        <v>453</v>
      </c>
      <c r="H20" s="534">
        <f>6303*5</f>
        <v>31515</v>
      </c>
    </row>
    <row r="21" spans="1:9">
      <c r="A21" s="621"/>
      <c r="B21" s="623"/>
      <c r="C21" s="149" t="s">
        <v>349</v>
      </c>
      <c r="D21" s="165">
        <f>IF(E21=0,0,資產!F10+H20+H21-H22)</f>
        <v>4939187</v>
      </c>
      <c r="E21" s="165">
        <f>VLOOKUP("折舊、折耗及攤銷",收支!$B$14:$N$64,13,0)</f>
        <v>4939187</v>
      </c>
      <c r="F21" s="165">
        <f>VLOOKUP("折舊、折耗及攤銷",對照表!$H$1:$J$29,3,0)</f>
        <v>4939187</v>
      </c>
      <c r="G21" s="361" t="s">
        <v>350</v>
      </c>
      <c r="H21" s="534">
        <f>47520+(22671+20790+22275+79199+64743)+14424+(52125+108591+17865+12672+15741+27720+44408+38610+77565+98010+20790+35738+17865)</f>
        <v>839322</v>
      </c>
      <c r="I21" s="515"/>
    </row>
    <row r="22" spans="1:9" ht="15.75">
      <c r="A22" s="621"/>
      <c r="B22" s="623"/>
      <c r="D22" s="152"/>
      <c r="E22" s="152"/>
      <c r="F22" s="152"/>
      <c r="G22" s="394" t="s">
        <v>420</v>
      </c>
      <c r="H22" s="547">
        <v>17028</v>
      </c>
    </row>
    <row r="23" spans="1:9">
      <c r="A23" s="621"/>
      <c r="B23" s="668"/>
      <c r="C23" s="382"/>
      <c r="D23" s="396" t="str">
        <f>封面!H10&amp;封面!I10&amp;封面!J10&amp;封面!K10&amp;"會計報告各帳戶存款餘額"</f>
        <v>114年5月會計報告各帳戶存款餘額</v>
      </c>
      <c r="E23" s="399"/>
      <c r="F23" s="397"/>
      <c r="G23"/>
    </row>
    <row r="24" spans="1:9">
      <c r="A24" s="621"/>
      <c r="B24" s="668"/>
      <c r="C24" s="382"/>
      <c r="D24" s="383" t="s">
        <v>351</v>
      </c>
      <c r="E24" s="384" t="s">
        <v>352</v>
      </c>
      <c r="F24" s="385" t="s">
        <v>353</v>
      </c>
    </row>
    <row r="25" spans="1:9">
      <c r="A25" s="621"/>
      <c r="B25" s="668"/>
      <c r="C25" s="382" t="s">
        <v>443</v>
      </c>
      <c r="D25" s="382">
        <f>代收!Y29</f>
        <v>1083060</v>
      </c>
      <c r="E25" s="382"/>
      <c r="F25" s="386">
        <f t="shared" ref="F25:F28" si="0">SUM(D25:E25)</f>
        <v>1083060</v>
      </c>
      <c r="H25" s="541" t="s">
        <v>479</v>
      </c>
      <c r="I25" s="542" t="s">
        <v>480</v>
      </c>
    </row>
    <row r="26" spans="1:9" ht="15" thickBot="1">
      <c r="A26" s="622"/>
      <c r="B26" s="669"/>
      <c r="C26" s="382" t="s">
        <v>446</v>
      </c>
      <c r="D26" s="387">
        <f>代收!Y31</f>
        <v>1083127</v>
      </c>
      <c r="E26" s="387"/>
      <c r="F26" s="386">
        <f t="shared" si="0"/>
        <v>1083127</v>
      </c>
      <c r="G26" s="543">
        <f>專戶差額!G43+專戶差額!H43</f>
        <v>2166187</v>
      </c>
      <c r="H26" s="544">
        <f>IF($G$26=0,0,VLOOKUP(H25,平衡!$D$13:$H$46,5,0))</f>
        <v>2166187</v>
      </c>
      <c r="I26" s="544">
        <f>IF($G$26=0,0,VLOOKUP(I25,平衡!$N$13:$T$46,7,0))</f>
        <v>2166187</v>
      </c>
    </row>
    <row r="27" spans="1:9" ht="17.25" thickBot="1">
      <c r="A27" s="61" t="s">
        <v>131</v>
      </c>
      <c r="B27" s="381" t="s">
        <v>142</v>
      </c>
      <c r="C27" s="382" t="s">
        <v>444</v>
      </c>
      <c r="D27" s="518">
        <f>F27-E27</f>
        <v>12317068</v>
      </c>
      <c r="E27" s="408"/>
      <c r="F27" s="519">
        <f>F32-SUM(F25:F26,F28:F31)</f>
        <v>12317068</v>
      </c>
      <c r="G27" s="545" t="s">
        <v>481</v>
      </c>
      <c r="H27" s="546">
        <f>H26-$G$26</f>
        <v>0</v>
      </c>
      <c r="I27" s="546">
        <f>I26-$G$26</f>
        <v>0</v>
      </c>
    </row>
    <row r="28" spans="1:9" ht="16.899999999999999" customHeight="1" thickBot="1">
      <c r="A28" s="61" t="s">
        <v>66</v>
      </c>
      <c r="B28" s="381" t="s">
        <v>132</v>
      </c>
      <c r="C28" s="382" t="s">
        <v>185</v>
      </c>
      <c r="D28" s="408">
        <f>代收!Y23</f>
        <v>0</v>
      </c>
      <c r="E28" s="408"/>
      <c r="F28" s="386">
        <f t="shared" si="0"/>
        <v>0</v>
      </c>
      <c r="H28" s="132"/>
    </row>
    <row r="29" spans="1:9" ht="17.25" thickBot="1">
      <c r="A29" s="61" t="s">
        <v>133</v>
      </c>
      <c r="B29" s="381" t="s">
        <v>134</v>
      </c>
      <c r="C29" s="382" t="s">
        <v>456</v>
      </c>
      <c r="D29" s="408">
        <f>代收!Y27</f>
        <v>500</v>
      </c>
      <c r="E29" s="408"/>
      <c r="F29" s="386">
        <f t="shared" ref="F29:F30" si="1">SUM(D29:E29)</f>
        <v>500</v>
      </c>
    </row>
    <row r="30" spans="1:9">
      <c r="A30" s="620" t="s">
        <v>135</v>
      </c>
      <c r="B30" s="667" t="s">
        <v>136</v>
      </c>
      <c r="C30" s="382" t="s">
        <v>445</v>
      </c>
      <c r="D30" s="408">
        <f>代收!Y173</f>
        <v>641968</v>
      </c>
      <c r="E30" s="408"/>
      <c r="F30" s="386">
        <f t="shared" si="1"/>
        <v>641968</v>
      </c>
    </row>
    <row r="31" spans="1:9">
      <c r="A31" s="623"/>
      <c r="B31" s="668"/>
      <c r="C31" s="382"/>
      <c r="D31" s="387"/>
      <c r="E31" s="387"/>
      <c r="F31" s="386">
        <f>SUM(D31:E31)</f>
        <v>0</v>
      </c>
    </row>
    <row r="32" spans="1:9" ht="15" thickBot="1">
      <c r="A32" s="622"/>
      <c r="B32" s="622"/>
      <c r="C32" s="388" t="s">
        <v>354</v>
      </c>
      <c r="D32" s="389">
        <f>SUM(D25:D31)</f>
        <v>15125723</v>
      </c>
      <c r="E32" s="389">
        <f>SUM(E25:E31)</f>
        <v>0</v>
      </c>
      <c r="F32" s="517">
        <f>VLOOKUP("銀行存款-專戶存款",平衡!$E$13:$H$47,4,0)</f>
        <v>15125723</v>
      </c>
    </row>
    <row r="33" spans="1:9" ht="15" thickBot="1">
      <c r="A33" s="166"/>
      <c r="B33" s="166"/>
      <c r="C33" s="388" t="s">
        <v>418</v>
      </c>
      <c r="D33" s="665">
        <f>SUM(D32:E32)</f>
        <v>15125723</v>
      </c>
      <c r="E33" s="666"/>
      <c r="F33" s="152"/>
      <c r="G33" s="152"/>
      <c r="H33" s="131"/>
      <c r="I33" s="131"/>
    </row>
    <row r="34" spans="1:9" ht="15" thickBot="1">
      <c r="A34" s="166"/>
      <c r="B34" s="166"/>
      <c r="D34" s="149"/>
      <c r="E34" s="149"/>
      <c r="F34" s="152"/>
      <c r="G34" s="152"/>
      <c r="H34" s="152"/>
      <c r="I34" s="131"/>
    </row>
    <row r="35" spans="1:9" ht="15" thickBot="1">
      <c r="A35" s="166"/>
      <c r="B35" s="166"/>
      <c r="D35" s="149"/>
      <c r="E35" s="149"/>
      <c r="F35" s="152"/>
      <c r="G35" s="152"/>
      <c r="H35" s="152"/>
    </row>
    <row r="36" spans="1:9" ht="20.25" thickBot="1">
      <c r="A36" s="60"/>
      <c r="B36" s="60"/>
      <c r="D36" s="149"/>
      <c r="E36" s="149"/>
      <c r="F36" s="152"/>
      <c r="G36" s="152"/>
      <c r="H36" s="152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4" priority="39" stopIfTrue="1">
      <formula>$D$16&lt;&gt;$E$16</formula>
    </cfRule>
  </conditionalFormatting>
  <conditionalFormatting sqref="D17:E17">
    <cfRule type="expression" dxfId="53" priority="38" stopIfTrue="1">
      <formula>$D17&lt;&gt;$E17</formula>
    </cfRule>
  </conditionalFormatting>
  <conditionalFormatting sqref="D18:E18 E19">
    <cfRule type="expression" dxfId="52" priority="37" stopIfTrue="1">
      <formula>$D$18&lt;&gt;$E$18</formula>
    </cfRule>
  </conditionalFormatting>
  <conditionalFormatting sqref="G33">
    <cfRule type="expression" dxfId="51" priority="35" stopIfTrue="1">
      <formula>$H$35&lt;&gt;0</formula>
    </cfRule>
  </conditionalFormatting>
  <conditionalFormatting sqref="G34">
    <cfRule type="expression" dxfId="50" priority="34" stopIfTrue="1">
      <formula>$F$34&lt;&gt;$G$34</formula>
    </cfRule>
  </conditionalFormatting>
  <conditionalFormatting sqref="G35">
    <cfRule type="expression" dxfId="49" priority="33" stopIfTrue="1">
      <formula>$H$35&lt;&gt;0</formula>
    </cfRule>
  </conditionalFormatting>
  <conditionalFormatting sqref="D14 F14:F15">
    <cfRule type="expression" dxfId="48" priority="31">
      <formula>$D$14&lt;&gt;$F$14</formula>
    </cfRule>
  </conditionalFormatting>
  <conditionalFormatting sqref="F15">
    <cfRule type="expression" dxfId="47" priority="28">
      <formula>$E$15&lt;&gt;$F$15</formula>
    </cfRule>
    <cfRule type="expression" dxfId="46" priority="29">
      <formula>$D$15&lt;&gt;$F$15</formula>
    </cfRule>
    <cfRule type="expression" dxfId="45" priority="30">
      <formula>$D$14&lt;&gt;$F$14</formula>
    </cfRule>
  </conditionalFormatting>
  <conditionalFormatting sqref="D15">
    <cfRule type="expression" dxfId="44" priority="26">
      <formula>$D$15&lt;&gt;$F$15</formula>
    </cfRule>
    <cfRule type="expression" dxfId="43" priority="27">
      <formula>$D$15&lt;&gt;$E$15</formula>
    </cfRule>
  </conditionalFormatting>
  <conditionalFormatting sqref="E15">
    <cfRule type="expression" dxfId="42" priority="24">
      <formula>$E$15&lt;&gt;$F$15</formula>
    </cfRule>
    <cfRule type="expression" dxfId="41" priority="25">
      <formula>$D$15&lt;&gt;$E$15</formula>
    </cfRule>
  </conditionalFormatting>
  <conditionalFormatting sqref="D6:E6">
    <cfRule type="expression" dxfId="40" priority="23">
      <formula>$D$6&lt;&gt;$E$6</formula>
    </cfRule>
  </conditionalFormatting>
  <conditionalFormatting sqref="D8:E8">
    <cfRule type="expression" dxfId="39" priority="22">
      <formula>$D$8&lt;&gt;$E$8</formula>
    </cfRule>
  </conditionalFormatting>
  <conditionalFormatting sqref="E16:E19">
    <cfRule type="expression" dxfId="38" priority="21" stopIfTrue="1">
      <formula>#REF!&lt;&gt;#REF!</formula>
    </cfRule>
  </conditionalFormatting>
  <conditionalFormatting sqref="D20:F20">
    <cfRule type="expression" dxfId="37" priority="19">
      <formula>$D$20&lt;&gt;$E$20</formula>
    </cfRule>
  </conditionalFormatting>
  <conditionalFormatting sqref="D20:F20">
    <cfRule type="expression" dxfId="36" priority="18">
      <formula>$E$20&lt;&gt;$F$20</formula>
    </cfRule>
  </conditionalFormatting>
  <conditionalFormatting sqref="D21:F22 D23:D24 F23">
    <cfRule type="expression" dxfId="35" priority="17">
      <formula>$D$21&lt;&gt;$E$21</formula>
    </cfRule>
  </conditionalFormatting>
  <conditionalFormatting sqref="D21:F22 D23:D24 F23">
    <cfRule type="expression" dxfId="34" priority="16">
      <formula>$D$21&lt;&gt;$F$21</formula>
    </cfRule>
  </conditionalFormatting>
  <conditionalFormatting sqref="D9:F9">
    <cfRule type="expression" dxfId="33" priority="14">
      <formula>$D$9&lt;&gt;$F$9</formula>
    </cfRule>
    <cfRule type="expression" dxfId="32" priority="15">
      <formula>$D$9&lt;&gt;$E$9</formula>
    </cfRule>
  </conditionalFormatting>
  <conditionalFormatting sqref="D10:G10">
    <cfRule type="expression" dxfId="31" priority="13">
      <formula>$D$10&lt;&gt;$E$10</formula>
    </cfRule>
  </conditionalFormatting>
  <conditionalFormatting sqref="F12:G12">
    <cfRule type="expression" dxfId="30" priority="12">
      <formula>$F$12&lt;&gt;$G$12</formula>
    </cfRule>
  </conditionalFormatting>
  <conditionalFormatting sqref="F36:G36">
    <cfRule type="expression" dxfId="29" priority="11" stopIfTrue="1">
      <formula>$F$36&lt;&gt;$G$36</formula>
    </cfRule>
  </conditionalFormatting>
  <conditionalFormatting sqref="E13:F13">
    <cfRule type="expression" dxfId="28" priority="8">
      <formula>$E$13&lt;&gt;$F$13</formula>
    </cfRule>
  </conditionalFormatting>
  <conditionalFormatting sqref="E23">
    <cfRule type="expression" dxfId="27" priority="7">
      <formula>$D$21&lt;&gt;$E$21</formula>
    </cfRule>
  </conditionalFormatting>
  <conditionalFormatting sqref="E23">
    <cfRule type="expression" dxfId="26" priority="6">
      <formula>$D$21&lt;&gt;$F$21</formula>
    </cfRule>
  </conditionalFormatting>
  <conditionalFormatting sqref="F25:F28">
    <cfRule type="expression" dxfId="25" priority="103" stopIfTrue="1">
      <formula>#REF!&lt;&gt;#REF!</formula>
    </cfRule>
  </conditionalFormatting>
  <conditionalFormatting sqref="F31">
    <cfRule type="expression" dxfId="24" priority="104" stopIfTrue="1">
      <formula>$F32&lt;&gt;#REF!</formula>
    </cfRule>
  </conditionalFormatting>
  <conditionalFormatting sqref="F25:F32">
    <cfRule type="expression" dxfId="23" priority="105" stopIfTrue="1">
      <formula>$F25&lt;&gt;#REF!</formula>
    </cfRule>
  </conditionalFormatting>
  <conditionalFormatting sqref="H27">
    <cfRule type="cellIs" dxfId="22" priority="2" operator="notEqual">
      <formula>0</formula>
    </cfRule>
  </conditionalFormatting>
  <conditionalFormatting sqref="I27">
    <cfRule type="cellIs" dxfId="21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1"/>
    <col min="7" max="7" width="10.42578125" style="411" bestFit="1" customWidth="1"/>
    <col min="8" max="8" width="14" style="411" customWidth="1"/>
    <col min="9" max="9" width="9.28515625" style="411" bestFit="1" customWidth="1"/>
    <col min="10" max="10" width="9.140625" style="411"/>
    <col min="11" max="12" width="6.85546875" style="411" bestFit="1" customWidth="1"/>
    <col min="13" max="13" width="11.85546875" style="411" customWidth="1"/>
    <col min="14" max="14" width="9.140625" style="411"/>
    <col min="15" max="15" width="11.7109375" style="411" bestFit="1" customWidth="1"/>
    <col min="16" max="16384" width="9.140625" style="411"/>
  </cols>
  <sheetData>
    <row r="1" spans="1:15" ht="36.75">
      <c r="A1" s="410" t="s">
        <v>463</v>
      </c>
    </row>
    <row r="4" spans="1:15" ht="36.75">
      <c r="A4" s="670" t="s">
        <v>447</v>
      </c>
      <c r="B4" s="671"/>
      <c r="C4" s="671"/>
      <c r="D4" s="671"/>
      <c r="E4" s="671"/>
      <c r="F4" s="671"/>
      <c r="G4" s="671"/>
      <c r="H4" s="671"/>
      <c r="I4" s="671"/>
      <c r="J4" s="671"/>
      <c r="K4" s="671"/>
      <c r="L4" s="671"/>
      <c r="M4" s="671"/>
      <c r="N4" s="671"/>
    </row>
    <row r="5" spans="1:15" ht="59.25" customHeight="1"/>
    <row r="6" spans="1:15" ht="59.25" customHeight="1"/>
    <row r="7" spans="1:15" ht="36.75">
      <c r="C7" s="672" t="s">
        <v>116</v>
      </c>
      <c r="D7" s="672"/>
      <c r="E7" s="672"/>
      <c r="F7" s="672"/>
      <c r="G7" s="672"/>
      <c r="H7" s="672"/>
      <c r="I7" s="672"/>
      <c r="J7" s="672"/>
      <c r="K7" s="672"/>
      <c r="L7" s="672"/>
    </row>
    <row r="8" spans="1:15" ht="51.75" customHeight="1"/>
    <row r="9" spans="1:15" ht="51.75" customHeight="1">
      <c r="O9" s="525">
        <f>IF(MOD(H10+1911,4)=0,1,0)</f>
        <v>0</v>
      </c>
    </row>
    <row r="10" spans="1:15" s="412" customFormat="1" ht="32.25">
      <c r="C10" s="413"/>
      <c r="D10" s="413"/>
      <c r="E10" s="674" t="s">
        <v>117</v>
      </c>
      <c r="F10" s="674"/>
      <c r="G10" s="674"/>
      <c r="H10" s="412">
        <v>114</v>
      </c>
      <c r="I10" s="412" t="s">
        <v>118</v>
      </c>
      <c r="J10" s="412">
        <v>5</v>
      </c>
      <c r="K10" s="414" t="s">
        <v>119</v>
      </c>
      <c r="L10" s="415" t="s">
        <v>122</v>
      </c>
      <c r="O10" s="526">
        <f>IF(J10=0,0,IF(J10=2,28+O9,IF(OR(J10=1,J10=3,J10=5,J10=7,J10=8,J10=10,J10=12),31,30)))</f>
        <v>31</v>
      </c>
    </row>
    <row r="15" spans="1:15" s="416" customFormat="1" ht="34.5" customHeight="1">
      <c r="B15" s="673" t="s">
        <v>120</v>
      </c>
      <c r="C15" s="673"/>
      <c r="D15" s="673"/>
      <c r="E15" s="673"/>
      <c r="F15" s="673"/>
      <c r="I15" s="416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0"/>
  <sheetViews>
    <sheetView showGridLines="0" showOutlineSymbols="0" view="pageBreakPreview" zoomScaleSheetLayoutView="100" workbookViewId="0">
      <selection activeCell="A31" sqref="A31:XFD31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1" customWidth="1"/>
    <col min="34" max="34" width="5.85546875" style="69" customWidth="1"/>
    <col min="35" max="16384" width="6.85546875" style="69"/>
  </cols>
  <sheetData>
    <row r="1" spans="2:35" ht="2.25" customHeight="1">
      <c r="AE1" s="692"/>
      <c r="AF1" s="692"/>
      <c r="AG1" s="692"/>
      <c r="AH1" s="692"/>
      <c r="AI1" s="692"/>
    </row>
    <row r="2" spans="2:35" ht="9" customHeight="1">
      <c r="B2" s="372"/>
      <c r="C2" s="696" t="str">
        <f>封面!$A$4</f>
        <v>彰化縣地方教育發展基金－彰化縣彰化市民生國民小學</v>
      </c>
      <c r="D2" s="696"/>
      <c r="E2" s="696"/>
      <c r="F2" s="696"/>
      <c r="G2" s="696"/>
      <c r="H2" s="696"/>
      <c r="I2" s="696"/>
      <c r="J2" s="696"/>
      <c r="K2" s="696"/>
      <c r="L2" s="696"/>
      <c r="M2" s="696"/>
      <c r="N2" s="696"/>
      <c r="O2" s="696"/>
      <c r="P2" s="696"/>
      <c r="Q2" s="696"/>
      <c r="R2" s="696"/>
      <c r="S2" s="696"/>
      <c r="T2" s="696"/>
      <c r="U2" s="696"/>
      <c r="V2" s="696"/>
      <c r="W2" s="696"/>
      <c r="X2" s="696"/>
      <c r="Y2" s="696"/>
      <c r="Z2" s="696"/>
      <c r="AA2" s="696"/>
      <c r="AB2" s="696"/>
      <c r="AC2" s="696"/>
      <c r="AD2" s="696"/>
      <c r="AE2" s="692"/>
      <c r="AF2" s="692"/>
      <c r="AG2" s="692"/>
      <c r="AH2" s="692"/>
      <c r="AI2" s="692"/>
    </row>
    <row r="3" spans="2:35" ht="18" customHeight="1">
      <c r="B3" s="372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6"/>
      <c r="O3" s="696"/>
      <c r="P3" s="696"/>
      <c r="Q3" s="696"/>
      <c r="R3" s="696"/>
      <c r="S3" s="696"/>
      <c r="T3" s="696"/>
      <c r="U3" s="696"/>
      <c r="V3" s="696"/>
      <c r="W3" s="696"/>
      <c r="X3" s="696"/>
      <c r="Y3" s="696"/>
      <c r="Z3" s="696"/>
      <c r="AA3" s="696"/>
      <c r="AB3" s="696"/>
      <c r="AC3" s="696"/>
      <c r="AD3" s="696"/>
    </row>
    <row r="4" spans="2:35" ht="24" customHeight="1">
      <c r="B4" s="693" t="s">
        <v>9</v>
      </c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</row>
    <row r="5" spans="2:35" ht="7.5" customHeight="1">
      <c r="C5" s="694" t="str">
        <f>封面!$E$10&amp;封面!$H$10&amp;封面!$I$10&amp;封面!$J$10&amp;封面!$K$10&amp;封面!L10</f>
        <v>中華民國114年5月份</v>
      </c>
      <c r="D5" s="694"/>
      <c r="E5" s="694"/>
      <c r="F5" s="694"/>
      <c r="G5" s="694"/>
      <c r="H5" s="694"/>
      <c r="I5" s="694"/>
      <c r="J5" s="694"/>
      <c r="K5" s="694"/>
      <c r="L5" s="694"/>
      <c r="M5" s="694"/>
      <c r="N5" s="694"/>
      <c r="O5" s="694"/>
      <c r="P5" s="694"/>
      <c r="Q5" s="694"/>
      <c r="R5" s="694"/>
      <c r="S5" s="694"/>
      <c r="T5" s="694"/>
      <c r="U5" s="694"/>
      <c r="V5" s="694"/>
      <c r="W5" s="694"/>
      <c r="X5" s="694"/>
      <c r="Y5" s="694"/>
      <c r="Z5" s="694"/>
      <c r="AA5" s="694"/>
      <c r="AB5" s="694"/>
      <c r="AC5" s="694"/>
      <c r="AD5" s="694"/>
    </row>
    <row r="6" spans="2:35" ht="13.9" customHeight="1">
      <c r="C6" s="694"/>
      <c r="D6" s="694"/>
      <c r="E6" s="694"/>
      <c r="F6" s="694"/>
      <c r="G6" s="694"/>
      <c r="H6" s="694"/>
      <c r="I6" s="694"/>
      <c r="J6" s="694"/>
      <c r="K6" s="694"/>
      <c r="L6" s="694"/>
      <c r="M6" s="694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</row>
    <row r="7" spans="2:35" ht="16.149999999999999" customHeight="1">
      <c r="Y7" s="695" t="s">
        <v>1</v>
      </c>
      <c r="Z7" s="695"/>
      <c r="AA7" s="695"/>
      <c r="AB7" s="695"/>
      <c r="AC7" s="695"/>
      <c r="AD7" s="695"/>
    </row>
    <row r="8" spans="2:35" ht="3.75" customHeight="1"/>
    <row r="9" spans="2:35" s="70" customFormat="1" ht="12.75" customHeight="1">
      <c r="C9" s="689" t="s">
        <v>355</v>
      </c>
      <c r="D9" s="689"/>
      <c r="E9" s="371"/>
      <c r="F9" s="371"/>
      <c r="G9" s="677" t="s">
        <v>422</v>
      </c>
      <c r="H9" s="371"/>
      <c r="I9" s="371"/>
      <c r="J9" s="683" t="s">
        <v>10</v>
      </c>
      <c r="K9" s="684"/>
      <c r="L9" s="684"/>
      <c r="M9" s="684"/>
      <c r="N9" s="684"/>
      <c r="O9" s="684"/>
      <c r="P9" s="684"/>
      <c r="Q9" s="685"/>
      <c r="R9" s="371"/>
      <c r="S9" s="371"/>
      <c r="T9" s="683" t="s">
        <v>11</v>
      </c>
      <c r="U9" s="684"/>
      <c r="V9" s="684"/>
      <c r="W9" s="684"/>
      <c r="X9" s="684"/>
      <c r="Y9" s="684"/>
      <c r="Z9" s="684"/>
      <c r="AA9" s="684"/>
      <c r="AB9" s="684"/>
      <c r="AC9" s="684"/>
      <c r="AD9" s="685"/>
      <c r="AG9" s="182"/>
    </row>
    <row r="10" spans="2:35" s="70" customFormat="1" ht="15.6" hidden="1" customHeight="1">
      <c r="C10" s="371"/>
      <c r="D10" s="398"/>
      <c r="E10" s="371"/>
      <c r="F10" s="371"/>
      <c r="G10" s="678"/>
      <c r="H10" s="370"/>
      <c r="I10" s="371"/>
      <c r="J10" s="686"/>
      <c r="K10" s="687"/>
      <c r="L10" s="687"/>
      <c r="M10" s="687"/>
      <c r="N10" s="687"/>
      <c r="O10" s="687"/>
      <c r="P10" s="687"/>
      <c r="Q10" s="688"/>
      <c r="R10" s="371"/>
      <c r="S10" s="371"/>
      <c r="T10" s="686"/>
      <c r="U10" s="687"/>
      <c r="V10" s="687"/>
      <c r="W10" s="687"/>
      <c r="X10" s="687"/>
      <c r="Y10" s="687"/>
      <c r="Z10" s="687"/>
      <c r="AA10" s="687"/>
      <c r="AB10" s="687"/>
      <c r="AC10" s="687"/>
      <c r="AD10" s="688"/>
      <c r="AG10" s="182"/>
    </row>
    <row r="11" spans="2:35" s="70" customFormat="1" ht="25.15" hidden="1" customHeight="1">
      <c r="C11" s="371"/>
      <c r="D11" s="371"/>
      <c r="E11" s="371"/>
      <c r="F11" s="371"/>
      <c r="G11" s="678"/>
      <c r="H11" s="370"/>
      <c r="I11" s="371"/>
      <c r="J11" s="371"/>
      <c r="K11" s="371"/>
      <c r="L11" s="371"/>
      <c r="M11" s="371"/>
      <c r="N11" s="371"/>
      <c r="O11" s="371"/>
      <c r="P11" s="371"/>
      <c r="Q11" s="371"/>
      <c r="R11" s="371"/>
      <c r="S11" s="371"/>
      <c r="T11" s="371"/>
      <c r="U11" s="371"/>
      <c r="V11" s="371"/>
      <c r="W11" s="371"/>
      <c r="X11" s="371"/>
      <c r="Y11" s="371"/>
      <c r="Z11" s="371"/>
      <c r="AA11" s="371"/>
      <c r="AB11" s="371"/>
      <c r="AC11" s="371"/>
      <c r="AD11" s="371"/>
      <c r="AG11" s="182"/>
    </row>
    <row r="12" spans="2:35" s="70" customFormat="1" ht="15" customHeight="1">
      <c r="C12" s="690" t="s">
        <v>421</v>
      </c>
      <c r="D12" s="689" t="s">
        <v>7</v>
      </c>
      <c r="E12" s="371"/>
      <c r="F12" s="371"/>
      <c r="G12" s="678"/>
      <c r="H12" s="370"/>
      <c r="I12" s="371"/>
      <c r="J12" s="677" t="s">
        <v>13</v>
      </c>
      <c r="K12" s="677" t="s">
        <v>13</v>
      </c>
      <c r="L12" s="371"/>
      <c r="M12" s="677" t="s">
        <v>14</v>
      </c>
      <c r="N12" s="683" t="s">
        <v>12</v>
      </c>
      <c r="O12" s="684"/>
      <c r="P12" s="684"/>
      <c r="Q12" s="684"/>
      <c r="R12" s="685"/>
      <c r="S12" s="371"/>
      <c r="T12" s="680" t="s">
        <v>356</v>
      </c>
      <c r="U12" s="371"/>
      <c r="V12" s="371"/>
      <c r="W12" s="683" t="s">
        <v>14</v>
      </c>
      <c r="X12" s="684"/>
      <c r="Y12" s="685"/>
      <c r="Z12" s="371"/>
      <c r="AA12" s="700" t="s">
        <v>12</v>
      </c>
      <c r="AB12" s="701"/>
      <c r="AC12" s="701"/>
      <c r="AD12" s="702"/>
      <c r="AG12" s="182"/>
    </row>
    <row r="13" spans="2:35" s="70" customFormat="1" ht="14.25" customHeight="1">
      <c r="C13" s="691"/>
      <c r="D13" s="689"/>
      <c r="E13" s="373"/>
      <c r="F13" s="371"/>
      <c r="G13" s="678"/>
      <c r="H13" s="370"/>
      <c r="I13" s="371"/>
      <c r="J13" s="678"/>
      <c r="K13" s="678"/>
      <c r="L13" s="371"/>
      <c r="M13" s="678"/>
      <c r="N13" s="686"/>
      <c r="O13" s="687"/>
      <c r="P13" s="687"/>
      <c r="Q13" s="687"/>
      <c r="R13" s="688"/>
      <c r="S13" s="371"/>
      <c r="T13" s="681"/>
      <c r="U13" s="675"/>
      <c r="V13" s="371"/>
      <c r="W13" s="697"/>
      <c r="X13" s="698"/>
      <c r="Y13" s="699"/>
      <c r="Z13" s="371"/>
      <c r="AA13" s="703"/>
      <c r="AB13" s="704"/>
      <c r="AC13" s="704"/>
      <c r="AD13" s="705"/>
      <c r="AG13" s="182"/>
    </row>
    <row r="14" spans="2:35" s="70" customFormat="1" ht="13.5" hidden="1" customHeight="1">
      <c r="C14" s="691"/>
      <c r="D14" s="689"/>
      <c r="E14" s="373"/>
      <c r="F14" s="371"/>
      <c r="G14" s="678"/>
      <c r="H14" s="371"/>
      <c r="I14" s="371"/>
      <c r="J14" s="678"/>
      <c r="K14" s="678"/>
      <c r="L14" s="371"/>
      <c r="M14" s="678"/>
      <c r="N14" s="677" t="s">
        <v>4</v>
      </c>
      <c r="O14" s="677" t="s">
        <v>4</v>
      </c>
      <c r="P14" s="371"/>
      <c r="Q14" s="683" t="s">
        <v>5</v>
      </c>
      <c r="R14" s="685"/>
      <c r="S14" s="371"/>
      <c r="T14" s="681"/>
      <c r="U14" s="676"/>
      <c r="V14" s="371"/>
      <c r="W14" s="697"/>
      <c r="X14" s="698"/>
      <c r="Y14" s="699"/>
      <c r="Z14" s="371"/>
      <c r="AA14" s="675" t="s">
        <v>4</v>
      </c>
      <c r="AB14" s="371"/>
      <c r="AC14" s="371"/>
      <c r="AD14" s="675" t="s">
        <v>5</v>
      </c>
      <c r="AG14" s="182"/>
    </row>
    <row r="15" spans="2:35" s="70" customFormat="1" ht="18" customHeight="1">
      <c r="C15" s="691"/>
      <c r="D15" s="689"/>
      <c r="E15" s="373"/>
      <c r="F15" s="371"/>
      <c r="G15" s="679"/>
      <c r="H15" s="371"/>
      <c r="I15" s="371"/>
      <c r="J15" s="679"/>
      <c r="K15" s="679"/>
      <c r="L15" s="371"/>
      <c r="M15" s="679"/>
      <c r="N15" s="679"/>
      <c r="O15" s="679"/>
      <c r="P15" s="371"/>
      <c r="Q15" s="686"/>
      <c r="R15" s="688"/>
      <c r="S15" s="371"/>
      <c r="T15" s="682"/>
      <c r="U15" s="371"/>
      <c r="V15" s="371"/>
      <c r="W15" s="686"/>
      <c r="X15" s="687"/>
      <c r="Y15" s="688"/>
      <c r="Z15" s="371"/>
      <c r="AA15" s="676"/>
      <c r="AB15" s="371"/>
      <c r="AC15" s="371"/>
      <c r="AD15" s="676"/>
      <c r="AG15" s="182"/>
    </row>
    <row r="16" spans="2:35" ht="15">
      <c r="C16" s="324" t="s">
        <v>15</v>
      </c>
      <c r="D16" s="357" t="s">
        <v>357</v>
      </c>
      <c r="E16" s="325"/>
      <c r="F16" s="71"/>
      <c r="G16" s="142">
        <v>134807000</v>
      </c>
      <c r="H16" s="142"/>
      <c r="I16" s="142"/>
      <c r="J16" s="142">
        <v>9556000</v>
      </c>
      <c r="K16" s="142"/>
      <c r="L16" s="142"/>
      <c r="M16" s="142">
        <v>9556000</v>
      </c>
      <c r="N16" s="143"/>
      <c r="O16" s="143"/>
      <c r="P16" s="92"/>
      <c r="Q16" s="148"/>
      <c r="R16" s="92"/>
      <c r="S16" s="174"/>
      <c r="T16" s="176">
        <v>65284716</v>
      </c>
      <c r="U16" s="142"/>
      <c r="V16" s="143"/>
      <c r="W16" s="179">
        <v>65601000</v>
      </c>
      <c r="X16" s="176"/>
      <c r="Y16" s="142"/>
      <c r="Z16" s="143"/>
      <c r="AA16" s="147">
        <v>-316284</v>
      </c>
      <c r="AB16" s="92"/>
      <c r="AC16" s="92"/>
      <c r="AD16" s="148">
        <v>-0.48213289431563544</v>
      </c>
      <c r="AF16" s="69">
        <v>1</v>
      </c>
      <c r="AG16" s="181" t="str">
        <f>IF(LEN(D16)&lt;3,"",IF(OR(ABS(AD16)&gt;20,ABS(AA16)&gt;10000000,AND(T16&gt;0,W16=0)),"填寫說明",""))</f>
        <v/>
      </c>
    </row>
    <row r="17" spans="3:34" ht="15">
      <c r="C17" s="339" t="s">
        <v>16</v>
      </c>
      <c r="D17" s="357" t="s">
        <v>358</v>
      </c>
      <c r="E17" s="341"/>
      <c r="F17" s="73"/>
      <c r="G17" s="144">
        <v>358000</v>
      </c>
      <c r="H17" s="144"/>
      <c r="I17" s="144"/>
      <c r="J17" s="144"/>
      <c r="K17" s="145"/>
      <c r="L17" s="145"/>
      <c r="M17" s="145"/>
      <c r="N17" s="145"/>
      <c r="O17" s="145"/>
      <c r="P17" s="93"/>
      <c r="Q17" s="95"/>
      <c r="R17" s="93"/>
      <c r="S17" s="175"/>
      <c r="T17" s="178">
        <v>143644</v>
      </c>
      <c r="U17" s="145"/>
      <c r="V17" s="145"/>
      <c r="W17" s="180">
        <v>158000</v>
      </c>
      <c r="X17" s="177"/>
      <c r="Y17" s="145"/>
      <c r="Z17" s="145"/>
      <c r="AA17" s="145">
        <v>-14356</v>
      </c>
      <c r="AB17" s="93"/>
      <c r="AC17" s="93"/>
      <c r="AD17" s="95">
        <v>-9.0860759493670891</v>
      </c>
      <c r="AF17" s="69">
        <v>2</v>
      </c>
      <c r="AG17" s="181" t="str">
        <f t="shared" ref="AG17:AG47" si="0">IF(LEN(D17)&lt;3,"",IF(OR(ABS(AD17)&gt;20,ABS(AA17)&gt;10000000,AND(T17&gt;0,W17=0)),"填寫說明",""))</f>
        <v/>
      </c>
    </row>
    <row r="18" spans="3:34" ht="15">
      <c r="C18" s="342" t="s">
        <v>17</v>
      </c>
      <c r="D18" s="357" t="s">
        <v>359</v>
      </c>
      <c r="E18" s="340"/>
      <c r="F18" s="73"/>
      <c r="G18" s="144">
        <v>358000</v>
      </c>
      <c r="H18" s="144"/>
      <c r="I18" s="144"/>
      <c r="J18" s="144"/>
      <c r="K18" s="145"/>
      <c r="L18" s="145"/>
      <c r="M18" s="145"/>
      <c r="N18" s="145"/>
      <c r="O18" s="145"/>
      <c r="P18" s="93"/>
      <c r="Q18" s="95"/>
      <c r="R18" s="93"/>
      <c r="S18" s="175"/>
      <c r="T18" s="178">
        <v>143644</v>
      </c>
      <c r="U18" s="145"/>
      <c r="V18" s="145"/>
      <c r="W18" s="180">
        <v>158000</v>
      </c>
      <c r="X18" s="177"/>
      <c r="Y18" s="145"/>
      <c r="Z18" s="145"/>
      <c r="AA18" s="145">
        <v>-14356</v>
      </c>
      <c r="AB18" s="93"/>
      <c r="AC18" s="93"/>
      <c r="AD18" s="95">
        <v>-9.0860759493670891</v>
      </c>
      <c r="AF18" s="69">
        <v>3</v>
      </c>
      <c r="AG18" s="181" t="str">
        <f t="shared" si="0"/>
        <v/>
      </c>
    </row>
    <row r="19" spans="3:34" ht="15">
      <c r="C19" s="339" t="s">
        <v>18</v>
      </c>
      <c r="D19" s="357" t="s">
        <v>360</v>
      </c>
      <c r="E19" s="341"/>
      <c r="F19" s="73"/>
      <c r="G19" s="144">
        <v>82000</v>
      </c>
      <c r="H19" s="144"/>
      <c r="I19" s="144"/>
      <c r="J19" s="144"/>
      <c r="K19" s="144"/>
      <c r="L19" s="144"/>
      <c r="M19" s="144"/>
      <c r="N19" s="145"/>
      <c r="O19" s="145"/>
      <c r="P19" s="93"/>
      <c r="Q19" s="95"/>
      <c r="R19" s="93"/>
      <c r="S19" s="175"/>
      <c r="T19" s="178">
        <v>1383</v>
      </c>
      <c r="U19" s="144"/>
      <c r="V19" s="145"/>
      <c r="W19" s="180">
        <v>3000</v>
      </c>
      <c r="X19" s="178"/>
      <c r="Y19" s="144"/>
      <c r="Z19" s="145"/>
      <c r="AA19" s="145">
        <v>-1617</v>
      </c>
      <c r="AB19" s="93"/>
      <c r="AC19" s="93"/>
      <c r="AD19" s="95">
        <v>-53.9</v>
      </c>
      <c r="AF19" s="69">
        <v>4</v>
      </c>
      <c r="AG19" s="181" t="str">
        <f t="shared" si="0"/>
        <v/>
      </c>
    </row>
    <row r="20" spans="3:34" ht="15">
      <c r="C20" s="342" t="s">
        <v>361</v>
      </c>
      <c r="D20" s="357">
        <v>451</v>
      </c>
      <c r="E20" s="73"/>
      <c r="F20" s="73"/>
      <c r="G20" s="144">
        <v>12000</v>
      </c>
      <c r="H20" s="144"/>
      <c r="I20" s="144"/>
      <c r="J20" s="144"/>
      <c r="K20" s="144"/>
      <c r="L20" s="144"/>
      <c r="M20" s="144"/>
      <c r="N20" s="145"/>
      <c r="O20" s="145"/>
      <c r="P20" s="93"/>
      <c r="Q20" s="95"/>
      <c r="R20" s="93"/>
      <c r="S20" s="175"/>
      <c r="T20" s="352">
        <v>1383</v>
      </c>
      <c r="U20" s="144"/>
      <c r="V20" s="145"/>
      <c r="W20" s="352">
        <v>3000</v>
      </c>
      <c r="X20" s="178"/>
      <c r="Y20" s="144"/>
      <c r="Z20" s="145"/>
      <c r="AA20" s="145">
        <v>-1617</v>
      </c>
      <c r="AB20" s="93"/>
      <c r="AC20" s="93"/>
      <c r="AD20" s="95">
        <v>-53.9</v>
      </c>
      <c r="AF20" s="69">
        <v>5</v>
      </c>
      <c r="AG20" s="181" t="str">
        <f t="shared" si="0"/>
        <v>填寫說明</v>
      </c>
    </row>
    <row r="21" spans="3:34" ht="15">
      <c r="C21" s="342" t="s">
        <v>19</v>
      </c>
      <c r="D21" s="357" t="s">
        <v>362</v>
      </c>
      <c r="E21" s="341"/>
      <c r="F21" s="73"/>
      <c r="G21" s="144">
        <v>70000</v>
      </c>
      <c r="H21" s="144"/>
      <c r="I21" s="144"/>
      <c r="J21" s="144"/>
      <c r="K21" s="145"/>
      <c r="L21" s="145"/>
      <c r="M21" s="145"/>
      <c r="N21" s="145"/>
      <c r="O21" s="145"/>
      <c r="P21" s="93"/>
      <c r="Q21" s="95"/>
      <c r="R21" s="93"/>
      <c r="S21" s="175"/>
      <c r="T21" s="178"/>
      <c r="U21" s="145"/>
      <c r="V21" s="145"/>
      <c r="W21" s="180"/>
      <c r="X21" s="178"/>
      <c r="Y21" s="144"/>
      <c r="Z21" s="144"/>
      <c r="AA21" s="144"/>
      <c r="AB21" s="93"/>
      <c r="AC21" s="95"/>
      <c r="AD21" s="95"/>
      <c r="AF21" s="69">
        <v>6</v>
      </c>
      <c r="AG21" s="181" t="str">
        <f t="shared" si="0"/>
        <v/>
      </c>
    </row>
    <row r="22" spans="3:34" ht="15">
      <c r="C22" s="339" t="s">
        <v>363</v>
      </c>
      <c r="D22" s="357" t="s">
        <v>364</v>
      </c>
      <c r="E22" s="340"/>
      <c r="F22" s="73"/>
      <c r="G22" s="144">
        <v>134362000</v>
      </c>
      <c r="H22" s="144"/>
      <c r="I22" s="144"/>
      <c r="J22" s="144">
        <v>9556000</v>
      </c>
      <c r="K22" s="145"/>
      <c r="L22" s="145"/>
      <c r="M22" s="145">
        <v>9556000</v>
      </c>
      <c r="N22" s="145"/>
      <c r="O22" s="145"/>
      <c r="P22" s="93"/>
      <c r="Q22" s="95"/>
      <c r="R22" s="93"/>
      <c r="S22" s="175"/>
      <c r="T22" s="178">
        <v>65139255</v>
      </c>
      <c r="U22" s="145"/>
      <c r="V22" s="145"/>
      <c r="W22" s="180">
        <v>65440000</v>
      </c>
      <c r="X22" s="178"/>
      <c r="Y22" s="144"/>
      <c r="Z22" s="144"/>
      <c r="AA22" s="144">
        <v>-300745</v>
      </c>
      <c r="AB22" s="93"/>
      <c r="AC22" s="95"/>
      <c r="AD22" s="95">
        <v>-0.45957365525672372</v>
      </c>
      <c r="AF22" s="69">
        <v>7</v>
      </c>
      <c r="AG22" s="181" t="str">
        <f t="shared" si="0"/>
        <v/>
      </c>
    </row>
    <row r="23" spans="3:34" ht="15">
      <c r="C23" s="342" t="s">
        <v>21</v>
      </c>
      <c r="D23" s="357" t="s">
        <v>365</v>
      </c>
      <c r="E23" s="341"/>
      <c r="F23" s="73"/>
      <c r="G23" s="144">
        <v>134362000</v>
      </c>
      <c r="H23" s="144"/>
      <c r="I23" s="144"/>
      <c r="J23" s="144">
        <v>9556000</v>
      </c>
      <c r="K23" s="144"/>
      <c r="L23" s="144"/>
      <c r="M23" s="144">
        <v>9556000</v>
      </c>
      <c r="N23" s="144"/>
      <c r="O23" s="144"/>
      <c r="P23" s="94"/>
      <c r="Q23" s="95"/>
      <c r="R23" s="95"/>
      <c r="S23" s="175"/>
      <c r="T23" s="178">
        <v>65139255</v>
      </c>
      <c r="U23" s="144"/>
      <c r="V23" s="145"/>
      <c r="W23" s="180">
        <v>65440000</v>
      </c>
      <c r="X23" s="178"/>
      <c r="Y23" s="144"/>
      <c r="Z23" s="144"/>
      <c r="AA23" s="144">
        <v>-300745</v>
      </c>
      <c r="AB23" s="93"/>
      <c r="AC23" s="95"/>
      <c r="AD23" s="95">
        <v>-0.45957365525672372</v>
      </c>
      <c r="AF23" s="69">
        <v>8</v>
      </c>
      <c r="AG23" s="181" t="str">
        <f t="shared" si="0"/>
        <v/>
      </c>
    </row>
    <row r="24" spans="3:34" ht="15">
      <c r="C24" s="140" t="s">
        <v>183</v>
      </c>
      <c r="D24" s="357" t="s">
        <v>366</v>
      </c>
      <c r="E24" s="73"/>
      <c r="F24" s="73"/>
      <c r="G24" s="144">
        <v>5000</v>
      </c>
      <c r="H24" s="144"/>
      <c r="I24" s="144"/>
      <c r="J24" s="144"/>
      <c r="K24" s="144"/>
      <c r="L24" s="144"/>
      <c r="M24" s="144"/>
      <c r="N24" s="144"/>
      <c r="O24" s="144"/>
      <c r="P24" s="94"/>
      <c r="Q24" s="95"/>
      <c r="R24" s="95"/>
      <c r="S24" s="175"/>
      <c r="T24" s="178">
        <v>434</v>
      </c>
      <c r="U24" s="144"/>
      <c r="V24" s="145"/>
      <c r="W24" s="180"/>
      <c r="X24" s="178"/>
      <c r="Y24" s="144"/>
      <c r="Z24" s="144"/>
      <c r="AA24" s="144">
        <v>434</v>
      </c>
      <c r="AB24" s="93"/>
      <c r="AC24" s="95"/>
      <c r="AD24" s="95"/>
      <c r="AF24" s="69">
        <v>9</v>
      </c>
      <c r="AG24" s="181" t="str">
        <f t="shared" si="0"/>
        <v/>
      </c>
    </row>
    <row r="25" spans="3:34" ht="15">
      <c r="C25" s="141" t="s">
        <v>367</v>
      </c>
      <c r="D25" s="357" t="s">
        <v>368</v>
      </c>
      <c r="E25" s="73"/>
      <c r="F25" s="73"/>
      <c r="G25" s="144">
        <v>5000</v>
      </c>
      <c r="H25" s="144"/>
      <c r="I25" s="144"/>
      <c r="J25" s="144"/>
      <c r="K25" s="144"/>
      <c r="L25" s="144"/>
      <c r="M25" s="144"/>
      <c r="N25" s="144"/>
      <c r="O25" s="144"/>
      <c r="P25" s="94"/>
      <c r="Q25" s="95"/>
      <c r="R25" s="95"/>
      <c r="S25" s="175"/>
      <c r="T25" s="178">
        <v>434</v>
      </c>
      <c r="U25" s="144"/>
      <c r="V25" s="145"/>
      <c r="W25" s="180"/>
      <c r="X25" s="178"/>
      <c r="Y25" s="144"/>
      <c r="Z25" s="144"/>
      <c r="AA25" s="144">
        <v>434</v>
      </c>
      <c r="AB25" s="93"/>
      <c r="AC25" s="95"/>
      <c r="AD25" s="95"/>
      <c r="AF25" s="69">
        <v>11</v>
      </c>
      <c r="AG25" s="181" t="str">
        <f t="shared" si="0"/>
        <v>填寫說明</v>
      </c>
    </row>
    <row r="26" spans="3:34" ht="15">
      <c r="C26" s="136" t="s">
        <v>166</v>
      </c>
      <c r="D26" s="357" t="s">
        <v>369</v>
      </c>
      <c r="E26" s="73"/>
      <c r="F26" s="73"/>
      <c r="G26" s="144">
        <v>137371000</v>
      </c>
      <c r="H26" s="144"/>
      <c r="I26" s="144"/>
      <c r="J26" s="144">
        <v>10828110</v>
      </c>
      <c r="K26" s="144"/>
      <c r="L26" s="144"/>
      <c r="M26" s="145">
        <v>9556000</v>
      </c>
      <c r="N26" s="144">
        <v>1272110</v>
      </c>
      <c r="O26" s="144"/>
      <c r="P26" s="94"/>
      <c r="Q26" s="95">
        <v>13.312159899539557</v>
      </c>
      <c r="R26" s="93"/>
      <c r="S26" s="93"/>
      <c r="T26" s="144">
        <v>66912321</v>
      </c>
      <c r="U26" s="144"/>
      <c r="V26" s="145"/>
      <c r="W26" s="144">
        <v>68165000</v>
      </c>
      <c r="X26" s="144"/>
      <c r="Y26" s="144"/>
      <c r="Z26" s="144"/>
      <c r="AA26" s="144">
        <v>-1252679</v>
      </c>
      <c r="AB26" s="93"/>
      <c r="AC26" s="95"/>
      <c r="AD26" s="95">
        <v>-1.8377158365730213</v>
      </c>
      <c r="AF26" s="69">
        <v>12</v>
      </c>
      <c r="AG26" s="181" t="str">
        <f t="shared" si="0"/>
        <v/>
      </c>
    </row>
    <row r="27" spans="3:34" ht="15">
      <c r="C27" s="140" t="s">
        <v>22</v>
      </c>
      <c r="D27" s="357" t="s">
        <v>370</v>
      </c>
      <c r="E27" s="136"/>
      <c r="F27" s="73"/>
      <c r="G27" s="144">
        <v>137171000</v>
      </c>
      <c r="H27" s="144"/>
      <c r="I27" s="144"/>
      <c r="J27" s="144">
        <v>10828110</v>
      </c>
      <c r="K27" s="144"/>
      <c r="L27" s="144"/>
      <c r="M27" s="145">
        <v>9506000</v>
      </c>
      <c r="N27" s="144">
        <v>1322110</v>
      </c>
      <c r="O27" s="144"/>
      <c r="P27" s="94"/>
      <c r="Q27" s="95">
        <v>13.90816326530612</v>
      </c>
      <c r="R27" s="93"/>
      <c r="S27" s="93"/>
      <c r="T27" s="144">
        <v>66912321</v>
      </c>
      <c r="U27" s="144"/>
      <c r="V27" s="145"/>
      <c r="W27" s="144">
        <v>68065000</v>
      </c>
      <c r="X27" s="144"/>
      <c r="Y27" s="144"/>
      <c r="Z27" s="144"/>
      <c r="AA27" s="144">
        <v>-1152679</v>
      </c>
      <c r="AB27" s="93"/>
      <c r="AC27" s="95"/>
      <c r="AD27" s="95">
        <v>-1.6934973921986338</v>
      </c>
      <c r="AF27" s="69">
        <v>13</v>
      </c>
      <c r="AG27" s="181" t="str">
        <f t="shared" si="0"/>
        <v/>
      </c>
    </row>
    <row r="28" spans="3:34" ht="15">
      <c r="C28" s="141" t="s">
        <v>424</v>
      </c>
      <c r="D28" s="357">
        <v>532</v>
      </c>
      <c r="E28" s="136"/>
      <c r="F28" s="73"/>
      <c r="G28" s="144">
        <v>137171000</v>
      </c>
      <c r="H28" s="144"/>
      <c r="I28" s="144"/>
      <c r="J28" s="144">
        <v>10828110</v>
      </c>
      <c r="K28" s="144"/>
      <c r="L28" s="144"/>
      <c r="M28" s="145">
        <v>9506000</v>
      </c>
      <c r="N28" s="144">
        <v>1322110</v>
      </c>
      <c r="O28" s="144"/>
      <c r="P28" s="94"/>
      <c r="Q28" s="95">
        <v>13.90816326530612</v>
      </c>
      <c r="R28" s="93"/>
      <c r="S28" s="93"/>
      <c r="T28" s="144">
        <v>66912321</v>
      </c>
      <c r="U28" s="144"/>
      <c r="V28" s="145"/>
      <c r="W28" s="144">
        <v>68065000</v>
      </c>
      <c r="X28" s="144"/>
      <c r="Y28" s="144"/>
      <c r="Z28" s="144"/>
      <c r="AA28" s="144">
        <v>-1152679</v>
      </c>
      <c r="AB28" s="93"/>
      <c r="AC28" s="95"/>
      <c r="AD28" s="95">
        <v>-1.6934973921986338</v>
      </c>
      <c r="AF28" s="69">
        <v>14</v>
      </c>
      <c r="AG28" s="181" t="str">
        <f t="shared" si="0"/>
        <v/>
      </c>
      <c r="AH28" s="181">
        <f t="shared" ref="AH28:AH30" si="1">IF(AA28&gt;0,"超支",0)</f>
        <v>0</v>
      </c>
    </row>
    <row r="29" spans="3:34" ht="15">
      <c r="C29" s="140" t="s">
        <v>23</v>
      </c>
      <c r="D29" s="357" t="s">
        <v>440</v>
      </c>
      <c r="E29" s="136"/>
      <c r="F29" s="73"/>
      <c r="G29" s="144">
        <v>200000</v>
      </c>
      <c r="H29" s="144"/>
      <c r="I29" s="144"/>
      <c r="J29" s="144"/>
      <c r="K29" s="144"/>
      <c r="L29" s="144"/>
      <c r="M29" s="145">
        <v>50000</v>
      </c>
      <c r="N29" s="144">
        <v>-50000</v>
      </c>
      <c r="O29" s="144"/>
      <c r="P29" s="94"/>
      <c r="Q29" s="95">
        <v>-100</v>
      </c>
      <c r="R29" s="93"/>
      <c r="S29" s="93"/>
      <c r="T29" s="144"/>
      <c r="U29" s="144"/>
      <c r="V29" s="145"/>
      <c r="W29" s="144">
        <v>100000</v>
      </c>
      <c r="X29" s="144"/>
      <c r="Y29" s="144"/>
      <c r="Z29" s="144"/>
      <c r="AA29" s="144">
        <v>-100000</v>
      </c>
      <c r="AB29" s="93"/>
      <c r="AC29" s="95"/>
      <c r="AD29" s="95">
        <v>-100</v>
      </c>
      <c r="AF29" s="69">
        <v>15</v>
      </c>
      <c r="AG29" s="181" t="str">
        <f t="shared" si="0"/>
        <v/>
      </c>
      <c r="AH29" s="181"/>
    </row>
    <row r="30" spans="3:34" ht="15">
      <c r="C30" s="141" t="s">
        <v>441</v>
      </c>
      <c r="D30" s="357" t="s">
        <v>442</v>
      </c>
      <c r="E30" s="136"/>
      <c r="F30" s="73"/>
      <c r="G30" s="144">
        <v>200000</v>
      </c>
      <c r="H30" s="144"/>
      <c r="I30" s="144"/>
      <c r="J30" s="144"/>
      <c r="K30" s="144"/>
      <c r="L30" s="144"/>
      <c r="M30" s="145">
        <v>50000</v>
      </c>
      <c r="N30" s="144">
        <v>-50000</v>
      </c>
      <c r="O30" s="144"/>
      <c r="P30" s="94"/>
      <c r="Q30" s="95">
        <v>-100</v>
      </c>
      <c r="R30" s="93"/>
      <c r="S30" s="93"/>
      <c r="T30" s="144"/>
      <c r="U30" s="144"/>
      <c r="V30" s="145"/>
      <c r="W30" s="144">
        <v>100000</v>
      </c>
      <c r="X30" s="144"/>
      <c r="Y30" s="144"/>
      <c r="Z30" s="144"/>
      <c r="AA30" s="144">
        <v>-100000</v>
      </c>
      <c r="AB30" s="93"/>
      <c r="AC30" s="95"/>
      <c r="AD30" s="95">
        <v>-100</v>
      </c>
      <c r="AF30" s="69">
        <v>17</v>
      </c>
      <c r="AG30" s="181" t="str">
        <f t="shared" si="0"/>
        <v>填寫說明</v>
      </c>
      <c r="AH30" s="181">
        <f t="shared" si="1"/>
        <v>0</v>
      </c>
    </row>
    <row r="31" spans="3:34" ht="15">
      <c r="C31" s="136" t="s">
        <v>165</v>
      </c>
      <c r="D31" s="357" t="s">
        <v>371</v>
      </c>
      <c r="E31" s="73"/>
      <c r="F31" s="73"/>
      <c r="G31" s="144">
        <v>-2564000</v>
      </c>
      <c r="H31" s="144"/>
      <c r="I31" s="144"/>
      <c r="J31" s="144">
        <v>-1272110</v>
      </c>
      <c r="K31" s="145"/>
      <c r="L31" s="145"/>
      <c r="M31" s="145"/>
      <c r="N31" s="145">
        <v>-1272110</v>
      </c>
      <c r="O31" s="145"/>
      <c r="P31" s="93"/>
      <c r="Q31" s="95"/>
      <c r="R31" s="93"/>
      <c r="S31" s="93"/>
      <c r="T31" s="144">
        <v>-1627605</v>
      </c>
      <c r="U31" s="144"/>
      <c r="V31" s="145"/>
      <c r="W31" s="144">
        <v>-2564000</v>
      </c>
      <c r="X31" s="144"/>
      <c r="Y31" s="144"/>
      <c r="Z31" s="144"/>
      <c r="AA31" s="144">
        <v>936395</v>
      </c>
      <c r="AB31" s="93"/>
      <c r="AC31" s="95"/>
      <c r="AD31" s="95">
        <v>-36.520865834633383</v>
      </c>
      <c r="AF31" s="69">
        <v>18</v>
      </c>
      <c r="AG31" s="181" t="str">
        <f t="shared" si="0"/>
        <v/>
      </c>
      <c r="AH31" s="181">
        <f>IF(AA31&lt;0,"實際數超過累計預算數",0)</f>
        <v>0</v>
      </c>
    </row>
    <row r="32" spans="3:34" ht="15">
      <c r="C32" s="136" t="s">
        <v>24</v>
      </c>
      <c r="D32" s="357" t="s">
        <v>372</v>
      </c>
      <c r="E32" s="73"/>
      <c r="F32" s="73"/>
      <c r="G32" s="144">
        <v>6800034</v>
      </c>
      <c r="H32" s="144"/>
      <c r="I32" s="144"/>
      <c r="J32" s="144"/>
      <c r="K32" s="145"/>
      <c r="L32" s="145"/>
      <c r="M32" s="145"/>
      <c r="N32" s="145"/>
      <c r="O32" s="145"/>
      <c r="P32" s="93"/>
      <c r="Q32" s="95"/>
      <c r="R32" s="93"/>
      <c r="S32" s="93"/>
      <c r="T32" s="144">
        <v>8616300</v>
      </c>
      <c r="U32" s="144"/>
      <c r="V32" s="145"/>
      <c r="W32" s="144">
        <v>6800034</v>
      </c>
      <c r="X32" s="144"/>
      <c r="Y32" s="144"/>
      <c r="Z32" s="144"/>
      <c r="AA32" s="144">
        <v>1816266</v>
      </c>
      <c r="AB32" s="93"/>
      <c r="AC32" s="95"/>
      <c r="AD32" s="95">
        <v>26.709660569344209</v>
      </c>
      <c r="AG32" s="181" t="str">
        <f t="shared" si="0"/>
        <v/>
      </c>
    </row>
    <row r="33" spans="3:33" ht="15">
      <c r="C33" s="72" t="s">
        <v>25</v>
      </c>
      <c r="D33" s="357">
        <v>72</v>
      </c>
      <c r="E33" s="73"/>
      <c r="F33" s="73"/>
      <c r="G33" s="144"/>
      <c r="H33" s="144"/>
      <c r="I33" s="144"/>
      <c r="J33" s="144"/>
      <c r="K33" s="145"/>
      <c r="L33" s="145"/>
      <c r="M33" s="145"/>
      <c r="N33" s="145"/>
      <c r="O33" s="145"/>
      <c r="P33" s="93"/>
      <c r="Q33" s="95"/>
      <c r="R33" s="93"/>
      <c r="S33" s="93"/>
      <c r="T33" s="144"/>
      <c r="U33" s="144"/>
      <c r="V33" s="145"/>
      <c r="W33" s="144"/>
      <c r="X33" s="144"/>
      <c r="Y33" s="144"/>
      <c r="Z33" s="144"/>
      <c r="AA33" s="144"/>
      <c r="AB33" s="93"/>
      <c r="AC33" s="95"/>
      <c r="AD33" s="95"/>
      <c r="AG33" s="181" t="str">
        <f t="shared" si="0"/>
        <v/>
      </c>
    </row>
    <row r="34" spans="3:33" ht="15">
      <c r="C34" s="72" t="s">
        <v>26</v>
      </c>
      <c r="D34" s="357" t="s">
        <v>373</v>
      </c>
      <c r="E34" s="73"/>
      <c r="F34" s="73"/>
      <c r="G34" s="144">
        <v>4236034</v>
      </c>
      <c r="H34" s="144"/>
      <c r="I34" s="144"/>
      <c r="J34" s="144"/>
      <c r="K34" s="145"/>
      <c r="L34" s="145"/>
      <c r="M34" s="145"/>
      <c r="N34" s="145"/>
      <c r="O34" s="145"/>
      <c r="P34" s="93"/>
      <c r="Q34" s="95"/>
      <c r="R34" s="93"/>
      <c r="S34" s="93"/>
      <c r="T34" s="144">
        <v>6988695</v>
      </c>
      <c r="U34" s="144"/>
      <c r="V34" s="145"/>
      <c r="W34" s="144">
        <v>4236034</v>
      </c>
      <c r="X34" s="144"/>
      <c r="Y34" s="144"/>
      <c r="Z34" s="144"/>
      <c r="AA34" s="144">
        <v>2752661</v>
      </c>
      <c r="AB34" s="93"/>
      <c r="AC34" s="95"/>
      <c r="AD34" s="95">
        <v>64.982032722116969</v>
      </c>
      <c r="AG34" s="181" t="str">
        <f t="shared" si="0"/>
        <v/>
      </c>
    </row>
    <row r="35" spans="3:33" ht="15" hidden="1" customHeight="1">
      <c r="C35" s="72"/>
      <c r="D35" s="358"/>
      <c r="E35" s="73"/>
      <c r="F35" s="73"/>
      <c r="G35" s="145"/>
      <c r="H35" s="145"/>
      <c r="I35" s="145"/>
      <c r="J35" s="145"/>
      <c r="K35" s="145"/>
      <c r="L35" s="145"/>
      <c r="M35" s="145"/>
      <c r="N35" s="145"/>
      <c r="O35" s="145"/>
      <c r="P35" s="93"/>
      <c r="Q35" s="93"/>
      <c r="R35" s="93"/>
      <c r="S35" s="93"/>
      <c r="T35" s="145"/>
      <c r="U35" s="145"/>
      <c r="V35" s="145"/>
      <c r="W35" s="145"/>
      <c r="X35" s="145"/>
      <c r="Y35" s="145"/>
      <c r="Z35" s="145"/>
      <c r="AA35" s="145"/>
      <c r="AB35" s="93"/>
      <c r="AC35" s="93"/>
      <c r="AD35" s="93"/>
      <c r="AG35" s="181" t="str">
        <f t="shared" si="0"/>
        <v/>
      </c>
    </row>
    <row r="36" spans="3:33" ht="15" hidden="1" customHeight="1">
      <c r="C36" s="72"/>
      <c r="D36" s="358"/>
      <c r="E36" s="73"/>
      <c r="F36" s="73"/>
      <c r="G36" s="145"/>
      <c r="H36" s="145"/>
      <c r="I36" s="145"/>
      <c r="J36" s="145"/>
      <c r="K36" s="145"/>
      <c r="L36" s="145"/>
      <c r="M36" s="145"/>
      <c r="N36" s="145"/>
      <c r="O36" s="145"/>
      <c r="P36" s="93"/>
      <c r="Q36" s="93"/>
      <c r="R36" s="93"/>
      <c r="S36" s="93"/>
      <c r="T36" s="145"/>
      <c r="U36" s="145"/>
      <c r="V36" s="145"/>
      <c r="W36" s="145"/>
      <c r="X36" s="145"/>
      <c r="Y36" s="145"/>
      <c r="Z36" s="145"/>
      <c r="AA36" s="145"/>
      <c r="AB36" s="93"/>
      <c r="AC36" s="93"/>
      <c r="AD36" s="93"/>
      <c r="AG36" s="181" t="str">
        <f t="shared" si="0"/>
        <v/>
      </c>
    </row>
    <row r="37" spans="3:33" ht="15" hidden="1" customHeight="1">
      <c r="C37" s="72"/>
      <c r="D37" s="358"/>
      <c r="E37" s="73"/>
      <c r="F37" s="73"/>
      <c r="G37" s="145"/>
      <c r="H37" s="145"/>
      <c r="I37" s="145"/>
      <c r="J37" s="145"/>
      <c r="K37" s="145"/>
      <c r="L37" s="145"/>
      <c r="M37" s="145"/>
      <c r="N37" s="145"/>
      <c r="O37" s="145"/>
      <c r="P37" s="93"/>
      <c r="Q37" s="93"/>
      <c r="R37" s="93"/>
      <c r="S37" s="93"/>
      <c r="T37" s="145"/>
      <c r="U37" s="145"/>
      <c r="V37" s="145"/>
      <c r="W37" s="145"/>
      <c r="X37" s="145"/>
      <c r="Y37" s="145"/>
      <c r="Z37" s="145"/>
      <c r="AA37" s="145"/>
      <c r="AB37" s="93"/>
      <c r="AC37" s="93"/>
      <c r="AD37" s="93"/>
      <c r="AG37" s="181" t="str">
        <f t="shared" si="0"/>
        <v/>
      </c>
    </row>
    <row r="38" spans="3:33" ht="15" hidden="1" customHeight="1">
      <c r="C38" s="72"/>
      <c r="D38" s="358"/>
      <c r="E38" s="73"/>
      <c r="F38" s="73"/>
      <c r="G38" s="145"/>
      <c r="H38" s="145"/>
      <c r="I38" s="145"/>
      <c r="J38" s="145"/>
      <c r="K38" s="145"/>
      <c r="L38" s="145"/>
      <c r="M38" s="145"/>
      <c r="N38" s="145"/>
      <c r="O38" s="145"/>
      <c r="P38" s="93"/>
      <c r="Q38" s="93"/>
      <c r="R38" s="93"/>
      <c r="S38" s="93"/>
      <c r="T38" s="145"/>
      <c r="U38" s="145"/>
      <c r="V38" s="145"/>
      <c r="W38" s="145"/>
      <c r="X38" s="145"/>
      <c r="Y38" s="145"/>
      <c r="Z38" s="145"/>
      <c r="AA38" s="145"/>
      <c r="AB38" s="93"/>
      <c r="AC38" s="93"/>
      <c r="AD38" s="93"/>
      <c r="AG38" s="181" t="str">
        <f t="shared" si="0"/>
        <v/>
      </c>
    </row>
    <row r="39" spans="3:33" ht="15" hidden="1" customHeight="1">
      <c r="C39" s="72"/>
      <c r="D39" s="358"/>
      <c r="E39" s="73"/>
      <c r="F39" s="73"/>
      <c r="G39" s="145"/>
      <c r="H39" s="145"/>
      <c r="I39" s="145"/>
      <c r="J39" s="145"/>
      <c r="K39" s="145"/>
      <c r="L39" s="145"/>
      <c r="M39" s="145"/>
      <c r="N39" s="145"/>
      <c r="O39" s="145"/>
      <c r="P39" s="93"/>
      <c r="Q39" s="93"/>
      <c r="R39" s="93"/>
      <c r="S39" s="93"/>
      <c r="T39" s="145"/>
      <c r="U39" s="145"/>
      <c r="V39" s="145"/>
      <c r="W39" s="145"/>
      <c r="X39" s="145"/>
      <c r="Y39" s="145"/>
      <c r="Z39" s="145"/>
      <c r="AA39" s="145"/>
      <c r="AB39" s="93"/>
      <c r="AC39" s="93"/>
      <c r="AD39" s="93"/>
      <c r="AG39" s="181" t="str">
        <f t="shared" si="0"/>
        <v/>
      </c>
    </row>
    <row r="40" spans="3:33" ht="15" hidden="1" customHeight="1">
      <c r="C40" s="72"/>
      <c r="D40" s="358"/>
      <c r="E40" s="73"/>
      <c r="F40" s="73"/>
      <c r="G40" s="145"/>
      <c r="H40" s="145"/>
      <c r="I40" s="145"/>
      <c r="J40" s="145"/>
      <c r="K40" s="145"/>
      <c r="L40" s="145"/>
      <c r="M40" s="145"/>
      <c r="N40" s="145"/>
      <c r="O40" s="145"/>
      <c r="P40" s="93"/>
      <c r="Q40" s="93"/>
      <c r="R40" s="93"/>
      <c r="S40" s="93"/>
      <c r="T40" s="145"/>
      <c r="U40" s="145"/>
      <c r="V40" s="145"/>
      <c r="W40" s="145"/>
      <c r="X40" s="145"/>
      <c r="Y40" s="145"/>
      <c r="Z40" s="145"/>
      <c r="AA40" s="145"/>
      <c r="AB40" s="93"/>
      <c r="AC40" s="93"/>
      <c r="AD40" s="93"/>
      <c r="AG40" s="181" t="str">
        <f t="shared" si="0"/>
        <v/>
      </c>
    </row>
    <row r="41" spans="3:33" ht="15" hidden="1" customHeight="1">
      <c r="C41" s="72"/>
      <c r="D41" s="358"/>
      <c r="E41" s="73"/>
      <c r="F41" s="73"/>
      <c r="G41" s="145"/>
      <c r="H41" s="145"/>
      <c r="I41" s="145"/>
      <c r="J41" s="145"/>
      <c r="K41" s="145"/>
      <c r="L41" s="145"/>
      <c r="M41" s="145"/>
      <c r="N41" s="145"/>
      <c r="O41" s="145"/>
      <c r="P41" s="93"/>
      <c r="Q41" s="93"/>
      <c r="R41" s="93"/>
      <c r="S41" s="93"/>
      <c r="T41" s="145"/>
      <c r="U41" s="145"/>
      <c r="V41" s="145"/>
      <c r="W41" s="145"/>
      <c r="X41" s="145"/>
      <c r="Y41" s="145"/>
      <c r="Z41" s="145"/>
      <c r="AA41" s="145"/>
      <c r="AB41" s="93"/>
      <c r="AC41" s="93"/>
      <c r="AD41" s="93"/>
      <c r="AG41" s="181" t="str">
        <f t="shared" si="0"/>
        <v/>
      </c>
    </row>
    <row r="42" spans="3:33" ht="15" hidden="1" customHeight="1">
      <c r="C42" s="72"/>
      <c r="D42" s="358"/>
      <c r="E42" s="73"/>
      <c r="F42" s="73"/>
      <c r="G42" s="145"/>
      <c r="H42" s="145"/>
      <c r="I42" s="145"/>
      <c r="J42" s="145"/>
      <c r="K42" s="145"/>
      <c r="L42" s="145"/>
      <c r="M42" s="145"/>
      <c r="N42" s="145"/>
      <c r="O42" s="145"/>
      <c r="P42" s="93"/>
      <c r="Q42" s="93"/>
      <c r="R42" s="93"/>
      <c r="S42" s="93"/>
      <c r="T42" s="145"/>
      <c r="U42" s="145"/>
      <c r="V42" s="145"/>
      <c r="W42" s="145"/>
      <c r="X42" s="145"/>
      <c r="Y42" s="145"/>
      <c r="Z42" s="145"/>
      <c r="AA42" s="145"/>
      <c r="AB42" s="93"/>
      <c r="AC42" s="93"/>
      <c r="AD42" s="93"/>
      <c r="AG42" s="181" t="str">
        <f t="shared" si="0"/>
        <v/>
      </c>
    </row>
    <row r="43" spans="3:33" ht="15" hidden="1" customHeight="1">
      <c r="C43" s="72"/>
      <c r="D43" s="358"/>
      <c r="E43" s="73"/>
      <c r="F43" s="73"/>
      <c r="G43" s="145"/>
      <c r="H43" s="145"/>
      <c r="I43" s="145"/>
      <c r="J43" s="145"/>
      <c r="K43" s="145"/>
      <c r="L43" s="145"/>
      <c r="M43" s="145"/>
      <c r="N43" s="145"/>
      <c r="O43" s="145"/>
      <c r="P43" s="93"/>
      <c r="Q43" s="93"/>
      <c r="R43" s="93"/>
      <c r="S43" s="93"/>
      <c r="T43" s="145"/>
      <c r="U43" s="145"/>
      <c r="V43" s="145"/>
      <c r="W43" s="145"/>
      <c r="X43" s="145"/>
      <c r="Y43" s="145"/>
      <c r="Z43" s="145"/>
      <c r="AA43" s="145"/>
      <c r="AB43" s="93"/>
      <c r="AC43" s="93"/>
      <c r="AD43" s="93"/>
      <c r="AG43" s="181" t="str">
        <f t="shared" si="0"/>
        <v/>
      </c>
    </row>
    <row r="44" spans="3:33" ht="15" hidden="1" customHeight="1">
      <c r="C44" s="72"/>
      <c r="D44" s="358"/>
      <c r="E44" s="73"/>
      <c r="F44" s="73"/>
      <c r="G44" s="145"/>
      <c r="H44" s="145"/>
      <c r="I44" s="145"/>
      <c r="J44" s="145"/>
      <c r="K44" s="145"/>
      <c r="L44" s="145"/>
      <c r="M44" s="145"/>
      <c r="N44" s="145"/>
      <c r="O44" s="145"/>
      <c r="P44" s="93"/>
      <c r="Q44" s="93"/>
      <c r="R44" s="93"/>
      <c r="S44" s="93"/>
      <c r="T44" s="145"/>
      <c r="U44" s="145"/>
      <c r="V44" s="145"/>
      <c r="W44" s="145"/>
      <c r="X44" s="145"/>
      <c r="Y44" s="145"/>
      <c r="Z44" s="145"/>
      <c r="AA44" s="145"/>
      <c r="AB44" s="93"/>
      <c r="AC44" s="93"/>
      <c r="AD44" s="93"/>
      <c r="AG44" s="181" t="str">
        <f t="shared" si="0"/>
        <v/>
      </c>
    </row>
    <row r="45" spans="3:33" ht="15" hidden="1" customHeight="1">
      <c r="C45" s="72"/>
      <c r="D45" s="358"/>
      <c r="E45" s="73"/>
      <c r="F45" s="73"/>
      <c r="G45" s="145"/>
      <c r="H45" s="145"/>
      <c r="I45" s="145"/>
      <c r="J45" s="145"/>
      <c r="K45" s="145"/>
      <c r="L45" s="145"/>
      <c r="M45" s="145"/>
      <c r="N45" s="145"/>
      <c r="O45" s="145"/>
      <c r="P45" s="93"/>
      <c r="Q45" s="93"/>
      <c r="R45" s="93"/>
      <c r="S45" s="93"/>
      <c r="T45" s="145"/>
      <c r="U45" s="145"/>
      <c r="V45" s="145"/>
      <c r="W45" s="145"/>
      <c r="X45" s="145"/>
      <c r="Y45" s="145"/>
      <c r="Z45" s="145"/>
      <c r="AA45" s="145"/>
      <c r="AB45" s="93"/>
      <c r="AC45" s="93"/>
      <c r="AD45" s="93"/>
      <c r="AG45" s="181" t="str">
        <f t="shared" si="0"/>
        <v/>
      </c>
    </row>
    <row r="46" spans="3:33" ht="15">
      <c r="C46" s="72"/>
      <c r="D46" s="358"/>
      <c r="E46" s="73"/>
      <c r="F46" s="73"/>
      <c r="G46" s="145"/>
      <c r="H46" s="145"/>
      <c r="I46" s="145"/>
      <c r="J46" s="145"/>
      <c r="K46" s="145"/>
      <c r="L46" s="145"/>
      <c r="M46" s="145"/>
      <c r="N46" s="145"/>
      <c r="O46" s="145"/>
      <c r="P46" s="93"/>
      <c r="Q46" s="93"/>
      <c r="R46" s="93"/>
      <c r="S46" s="93"/>
      <c r="T46" s="145"/>
      <c r="U46" s="145"/>
      <c r="V46" s="145"/>
      <c r="W46" s="145"/>
      <c r="X46" s="145"/>
      <c r="Y46" s="145"/>
      <c r="Z46" s="145"/>
      <c r="AA46" s="145"/>
      <c r="AB46" s="93"/>
      <c r="AC46" s="93"/>
      <c r="AD46" s="93"/>
      <c r="AG46" s="181" t="str">
        <f t="shared" si="0"/>
        <v/>
      </c>
    </row>
    <row r="47" spans="3:33" ht="15">
      <c r="C47" s="138"/>
      <c r="D47" s="359"/>
      <c r="E47" s="139"/>
      <c r="F47" s="139"/>
      <c r="G47" s="146"/>
      <c r="H47" s="146"/>
      <c r="I47" s="146"/>
      <c r="J47" s="146"/>
      <c r="K47" s="146"/>
      <c r="L47" s="146"/>
      <c r="M47" s="146"/>
      <c r="N47" s="146"/>
      <c r="O47" s="146"/>
      <c r="P47" s="96"/>
      <c r="Q47" s="96"/>
      <c r="R47" s="96"/>
      <c r="S47" s="96"/>
      <c r="T47" s="146"/>
      <c r="U47" s="146"/>
      <c r="V47" s="146"/>
      <c r="W47" s="146"/>
      <c r="X47" s="146"/>
      <c r="Y47" s="146"/>
      <c r="Z47" s="146"/>
      <c r="AA47" s="146"/>
      <c r="AB47" s="96"/>
      <c r="AC47" s="96"/>
      <c r="AD47" s="96"/>
      <c r="AG47" s="181" t="str">
        <f t="shared" si="0"/>
        <v/>
      </c>
    </row>
    <row r="48" spans="3:33" ht="7.5" customHeight="1">
      <c r="AG48" s="69"/>
    </row>
    <row r="49" spans="2:33" ht="12" customHeight="1">
      <c r="B49" s="137"/>
      <c r="AG49" s="69"/>
    </row>
    <row r="50" spans="2:33" ht="43.5" customHeight="1">
      <c r="T50" s="69" t="e">
        <f>VLOOKUP("銀行存款-縣庫存款",平衡!$E$13:$H$46,4,0)+VLOOKUP("零用及週轉金",平衡!$D$13:$H$46,5,0)+VLOOKUP("預付費用",平衡!$D$13:$H$46,5,0)</f>
        <v>#N/A</v>
      </c>
      <c r="AG50" s="69"/>
    </row>
  </sheetData>
  <sortState xmlns:xlrd2="http://schemas.microsoft.com/office/spreadsheetml/2017/richdata2" ref="A16:AM51">
    <sortCondition ref="AF16:AF51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20" priority="13">
      <formula>AND(T16&gt;0,W16=0)</formula>
    </cfRule>
  </conditionalFormatting>
  <conditionalFormatting sqref="T20">
    <cfRule type="expression" dxfId="19" priority="8">
      <formula>AND(T20&gt;0,W20=0)</formula>
    </cfRule>
  </conditionalFormatting>
  <conditionalFormatting sqref="W20">
    <cfRule type="expression" dxfId="18" priority="7">
      <formula>AND(W20&gt;0,Z20=0)</formula>
    </cfRule>
  </conditionalFormatting>
  <conditionalFormatting sqref="W20">
    <cfRule type="expression" dxfId="17" priority="6">
      <formula>AND(W20&gt;0,Z20=0)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4">
    <cfRule type="cellIs" dxfId="13" priority="1" operator="notEqual">
      <formula>$T$50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24</vt:i4>
      </vt:variant>
      <vt:variant>
        <vt:lpstr>具名範圍</vt:lpstr>
      </vt:variant>
      <vt:variant>
        <vt:i4>19</vt:i4>
      </vt:variant>
    </vt:vector>
  </HeadingPairs>
  <TitlesOfParts>
    <vt:vector size="43" baseType="lpstr">
      <vt:lpstr>封面-移交</vt:lpstr>
      <vt:lpstr>勾稽</vt:lpstr>
      <vt:lpstr>簡簽</vt:lpstr>
      <vt:lpstr>勞保</vt:lpstr>
      <vt:lpstr>健保</vt:lpstr>
      <vt:lpstr>代收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2025-06-02T02:03:15Z</cp:lastPrinted>
  <dcterms:created xsi:type="dcterms:W3CDTF">2016-11-01T23:05:09Z</dcterms:created>
  <dcterms:modified xsi:type="dcterms:W3CDTF">2025-06-06T01:02:38Z</dcterms:modified>
</cp:coreProperties>
</file>