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6265D7A1-338D-4D6D-B4BB-977788E81ABA}" xr6:coauthVersionLast="47" xr6:coauthVersionMax="47" xr10:uidLastSave="{00000000-0000-0000-0000-000000000000}"/>
  <bookViews>
    <workbookView xWindow="28680" yWindow="-120" windowWidth="29040" windowHeight="15720" tabRatio="793" activeTab="15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勾稽 (2)" sheetId="25" r:id="rId5"/>
    <sheet name="封面" sheetId="14" r:id="rId6"/>
    <sheet name="餘絀表" sheetId="3" r:id="rId7"/>
    <sheet name="平衡" sheetId="1" r:id="rId8"/>
    <sheet name="主要業務" sheetId="5" r:id="rId9"/>
    <sheet name="資產" sheetId="21" r:id="rId10"/>
    <sheet name="固定" sheetId="8" r:id="rId11"/>
    <sheet name="各項費用" sheetId="9" r:id="rId12"/>
    <sheet name="落後原因" sheetId="10" r:id="rId13"/>
    <sheet name="收支" sheetId="23" r:id="rId14"/>
    <sheet name="對照表" sheetId="24" r:id="rId15"/>
    <sheet name="庫款差額" sheetId="11" r:id="rId16"/>
    <sheet name="縣庫對帳" sheetId="12" r:id="rId17"/>
    <sheet name="專戶差額" sheetId="16" r:id="rId18"/>
    <sheet name="專戶對帳" sheetId="18" r:id="rId19"/>
    <sheet name="固定項目" sheetId="7" r:id="rId20"/>
    <sheet name="保管品" sheetId="17" r:id="rId21"/>
    <sheet name="對帳通知單" sheetId="13" r:id="rId22"/>
  </sheets>
  <externalReferences>
    <externalReference r:id="rId23"/>
    <externalReference r:id="rId24"/>
    <externalReference r:id="rId25"/>
    <externalReference r:id="rId26"/>
  </externalReferences>
  <definedNames>
    <definedName name="_xlnm.Print_Area" localSheetId="8">主要業務!$A$1:$L$24</definedName>
    <definedName name="_xlnm.Print_Area" localSheetId="7">平衡!$A$1:$U$92</definedName>
    <definedName name="_xlnm.Print_Area" localSheetId="11">各項費用!$A$1:$W$86</definedName>
    <definedName name="_xlnm.Print_Area" localSheetId="13">收支!$A$1:$N$45</definedName>
    <definedName name="_xlnm.Print_Area" localSheetId="10">固定!$A$1:$P$42</definedName>
    <definedName name="_xlnm.Print_Area" localSheetId="19">固定項目!$A$1:$I$43</definedName>
    <definedName name="_xlnm.Print_Area" localSheetId="5">封面!$A$1:$N$17</definedName>
    <definedName name="_xlnm.Print_Area" localSheetId="0">'封面-移交'!$A$1:$N$18</definedName>
    <definedName name="_xlnm.Print_Area" localSheetId="15">庫款差額!$A$1:$C$24</definedName>
    <definedName name="_xlnm.Print_Area" localSheetId="17">專戶差額!$A$1:$L$47</definedName>
    <definedName name="_xlnm.Print_Area" localSheetId="12">落後原因!$A$1:$P$29</definedName>
    <definedName name="_xlnm.Print_Area" localSheetId="9">資產!$A$1:$G$41</definedName>
    <definedName name="_xlnm.Print_Area" localSheetId="21">對帳通知單!$A$1:$R$20</definedName>
    <definedName name="_xlnm.Print_Area" localSheetId="14">對照表!$A$1:$I$35</definedName>
    <definedName name="_xlnm.Print_Area" localSheetId="6">餘絀表!$A$1:$AD$49</definedName>
    <definedName name="_xlnm.Print_Area" localSheetId="16">縣庫對帳!$B$1:$L$26</definedName>
    <definedName name="_xlnm.Print_Titles" localSheetId="11">各項費用!$2:$10</definedName>
    <definedName name="_xlnm.Print_Titles" localSheetId="15">庫款差額!$1:$5</definedName>
    <definedName name="_xlnm.Print_Titles" localSheetId="16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1" l="1"/>
  <c r="D30" i="25"/>
  <c r="D29" i="25"/>
  <c r="D28" i="25"/>
  <c r="D26" i="25"/>
  <c r="D25" i="25"/>
  <c r="Y169" i="27"/>
  <c r="Y31" i="27"/>
  <c r="Y29" i="27"/>
  <c r="Y27" i="27"/>
  <c r="Y23" i="27"/>
  <c r="D6" i="25"/>
  <c r="H20" i="25" l="1"/>
  <c r="N42" i="23" l="1"/>
  <c r="N41" i="23"/>
  <c r="N38" i="23"/>
  <c r="N37" i="23"/>
  <c r="N36" i="23"/>
  <c r="N35" i="23"/>
  <c r="N33" i="23"/>
  <c r="N31" i="23"/>
  <c r="N29" i="23"/>
  <c r="N26" i="23"/>
  <c r="N25" i="23"/>
  <c r="N23" i="23"/>
  <c r="N21" i="23"/>
  <c r="N20" i="23"/>
  <c r="N19" i="23"/>
  <c r="N18" i="23"/>
  <c r="N16" i="23"/>
  <c r="N15" i="23"/>
  <c r="H21" i="25"/>
  <c r="D32" i="24"/>
  <c r="P7" i="12"/>
  <c r="E7" i="25"/>
  <c r="E6" i="25"/>
  <c r="N40" i="23" l="1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E18" i="25" l="1"/>
  <c r="I24" i="23"/>
  <c r="N24" i="23" s="1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7" i="8"/>
  <c r="N37" i="8" s="1"/>
  <c r="M38" i="8"/>
  <c r="N38" i="8" s="1"/>
  <c r="M39" i="8"/>
  <c r="N39" i="8" s="1"/>
  <c r="M40" i="8"/>
  <c r="N40" i="8" s="1"/>
  <c r="M21" i="8"/>
  <c r="N21" i="8" s="1"/>
  <c r="L33" i="8"/>
  <c r="L34" i="8"/>
  <c r="L35" i="8"/>
  <c r="L36" i="8"/>
  <c r="L37" i="8"/>
  <c r="L38" i="8"/>
  <c r="L39" i="8"/>
  <c r="L40" i="8"/>
  <c r="L41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I34" i="23"/>
  <c r="N34" i="23" s="1"/>
  <c r="G19" i="21"/>
  <c r="I19" i="21" s="1"/>
  <c r="G20" i="21"/>
  <c r="I20" i="21" s="1"/>
  <c r="G21" i="21"/>
  <c r="I21" i="21" s="1"/>
  <c r="G22" i="21"/>
  <c r="I22" i="21" s="1"/>
  <c r="G23" i="21"/>
  <c r="I23" i="21" s="1"/>
  <c r="G24" i="21"/>
  <c r="I24" i="21" s="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0" i="3" l="1"/>
  <c r="T50" i="3" l="1"/>
  <c r="P8" i="12"/>
  <c r="D7" i="25"/>
  <c r="AH31" i="3" l="1"/>
  <c r="AH28" i="3"/>
  <c r="E32" i="24" l="1"/>
  <c r="O9" i="14" l="1"/>
  <c r="O10" i="14" s="1"/>
  <c r="G17" i="21"/>
  <c r="I17" i="21" s="1"/>
  <c r="G18" i="21"/>
  <c r="I18" i="21" s="1"/>
  <c r="G16" i="21"/>
  <c r="I16" i="21" s="1"/>
  <c r="J24" i="21" s="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I37" i="23" l="1"/>
  <c r="I32" i="23"/>
  <c r="N32" i="23" s="1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F20" i="25"/>
  <c r="D20" i="25"/>
  <c r="E19" i="25"/>
  <c r="D19" i="25"/>
  <c r="D18" i="25"/>
  <c r="E17" i="25"/>
  <c r="D17" i="25"/>
  <c r="D16" i="25"/>
  <c r="D15" i="25"/>
  <c r="D14" i="25"/>
  <c r="G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I14" i="21" s="1"/>
  <c r="G15" i="21"/>
  <c r="I15" i="21" s="1"/>
  <c r="G12" i="21"/>
  <c r="D11" i="15"/>
  <c r="E13" i="15"/>
  <c r="F27" i="25" l="1"/>
  <c r="D27" i="25" s="1"/>
  <c r="E29" i="24"/>
  <c r="I39" i="23"/>
  <c r="N39" i="23" s="1"/>
  <c r="J29" i="24"/>
  <c r="E15" i="15"/>
  <c r="G11" i="15"/>
  <c r="L8" i="16" l="1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K37" i="8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M41" i="8" s="1"/>
  <c r="N41" i="8" s="1"/>
  <c r="D23" i="15"/>
  <c r="K41" i="8" l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10" i="16"/>
  <c r="G43" i="16"/>
  <c r="M14" i="16"/>
  <c r="H43" i="16"/>
  <c r="H49" i="16" s="1"/>
  <c r="L43" i="16"/>
  <c r="L49" i="16" s="1"/>
  <c r="M35" i="16"/>
  <c r="A16" i="11"/>
  <c r="G49" i="16" l="1"/>
  <c r="G26" i="25"/>
  <c r="F10" i="21"/>
  <c r="E10" i="21"/>
  <c r="D10" i="21"/>
  <c r="C10" i="21"/>
  <c r="B10" i="21"/>
  <c r="I26" i="25" l="1"/>
  <c r="I27" i="25" s="1"/>
  <c r="H26" i="25"/>
  <c r="H27" i="25" s="1"/>
  <c r="G10" i="21"/>
  <c r="G42" i="21" s="1"/>
  <c r="I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E21" i="15"/>
  <c r="D21" i="15" s="1"/>
  <c r="E21" i="25"/>
  <c r="D21" i="25" s="1"/>
  <c r="E13" i="25"/>
  <c r="G13" i="25" s="1"/>
  <c r="D13" i="25" s="1"/>
  <c r="H10" i="25" s="1"/>
  <c r="E20" i="15"/>
  <c r="E20" i="25"/>
  <c r="F12" i="15"/>
  <c r="F12" i="25"/>
  <c r="F11" i="15"/>
  <c r="F11" i="25"/>
  <c r="N43" i="23"/>
  <c r="E15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<sst xmlns="http://schemas.openxmlformats.org/spreadsheetml/2006/main" count="1139" uniqueCount="858">
  <si>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</si>
  <si>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</si>
  <si>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</si>
  <si>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</si>
  <si>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</si>
  <si>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</si>
  <si>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</si>
  <si>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</si>
  <si>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</si>
  <si>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</si>
  <si>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</si>
  <si>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</si>
  <si>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</si>
  <si>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</si>
  <si>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</si>
  <si>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</si>
  <si>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</si>
  <si>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</si>
  <si>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</si>
  <si>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</si>
  <si>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</si>
  <si>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</si>
  <si>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</si>
  <si>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</si>
  <si>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</si>
  <si>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</si>
  <si>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</si>
  <si>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</si>
  <si>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</si>
  <si>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</si>
  <si>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</si>
  <si>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</si>
  <si>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</si>
  <si>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</si>
  <si>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</si>
  <si>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</si>
  <si>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</si>
  <si>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</si>
  <si>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</si>
  <si>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</si>
  <si>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</si>
  <si>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</si>
  <si>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</si>
  <si>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</si>
  <si>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</si>
  <si>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</si>
  <si>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</si>
  <si>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</si>
  <si>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</si>
  <si>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</si>
  <si>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</si>
  <si>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</si>
  <si>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</si>
  <si>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</si>
  <si>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</si>
  <si>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</si>
  <si>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</si>
  <si>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</si>
  <si>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</si>
  <si>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</si>
  <si>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</si>
  <si>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</si>
  <si>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</si>
  <si>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</si>
  <si>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</si>
  <si>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</si>
  <si>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</si>
  <si>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</si>
  <si>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</si>
  <si>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</si>
  <si>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</si>
  <si>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</si>
  <si>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</si>
  <si>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</si>
  <si>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</si>
  <si>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</si>
  <si>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</si>
  <si>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</si>
  <si>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</si>
  <si>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</si>
  <si>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</si>
  <si>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</si>
  <si>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</si>
  <si>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</si>
  <si>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</si>
  <si>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</si>
  <si>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</si>
  <si>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</si>
  <si>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</si>
  <si>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</si>
  <si>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</si>
  <si>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</si>
  <si>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</si>
  <si>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</si>
  <si>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</si>
  <si>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</si>
  <si>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</si>
  <si>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</si>
  <si>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</si>
  <si>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</si>
  <si>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</si>
  <si>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</si>
  <si>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</si>
  <si>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</si>
  <si>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</si>
  <si>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</si>
  <si>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</si>
  <si>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</si>
  <si>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</si>
  <si>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</si>
  <si>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</si>
  <si>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</si>
  <si>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</si>
  <si>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</si>
  <si>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</si>
  <si>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</si>
  <si>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</si>
  <si>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</si>
  <si>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</si>
  <si>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</si>
  <si>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</si>
  <si>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</si>
  <si>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</si>
  <si>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</si>
  <si>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</si>
  <si>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</si>
  <si>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</si>
  <si>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</si>
  <si>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</si>
  <si>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</si>
  <si>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</si>
  <si>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</si>
  <si>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</si>
  <si>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</si>
  <si>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</si>
  <si>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</si>
  <si>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</si>
  <si>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</si>
  <si>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</si>
  <si>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</si>
  <si>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</si>
  <si>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</si>
  <si>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</si>
  <si>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</si>
  <si>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</si>
  <si>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</si>
  <si>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</si>
  <si>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</si>
  <si>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</si>
  <si>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</si>
  <si>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</si>
  <si>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</si>
  <si>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</si>
  <si>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</si>
  <si>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</si>
  <si>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</si>
  <si>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</si>
  <si>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</si>
  <si>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</si>
  <si>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</si>
  <si>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</si>
  <si>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</si>
  <si>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</si>
  <si>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</si>
  <si>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</si>
  <si>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</si>
  <si>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</si>
  <si>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</si>
  <si>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</si>
  <si>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</si>
  <si>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</si>
  <si>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</si>
  <si>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</si>
  <si>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</si>
  <si>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</si>
  <si>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</si>
  <si>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</si>
  <si>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</si>
  <si>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</si>
  <si>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</si>
  <si>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</si>
  <si>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</si>
  <si>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</si>
  <si>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</si>
  <si>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</si>
  <si>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</si>
  <si>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</si>
  <si>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</si>
  <si>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</si>
  <si>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</si>
  <si>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</si>
  <si>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</si>
  <si>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</si>
  <si>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</si>
  <si>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</si>
  <si>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</si>
  <si>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</si>
  <si>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</si>
  <si>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</si>
  <si>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</si>
  <si>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</si>
  <si>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</si>
  <si>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</si>
  <si>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</si>
  <si>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</si>
  <si>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</si>
  <si>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</si>
  <si>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</si>
  <si>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</si>
  <si>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</si>
  <si>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</si>
  <si>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</si>
  <si>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</si>
  <si>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</si>
  <si>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</si>
  <si>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</si>
  <si>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</si>
  <si>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</si>
  <si>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</si>
  <si>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</si>
  <si>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</si>
  <si>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</si>
  <si>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</si>
  <si>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</si>
  <si>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</si>
  <si>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</si>
  <si>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</si>
  <si>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</si>
  <si>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</si>
  <si>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</si>
  <si>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</si>
  <si>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</si>
  <si>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</si>
  <si>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</si>
  <si>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</si>
  <si>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</si>
  <si>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</si>
  <si>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</si>
  <si>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</si>
  <si>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</si>
  <si>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</si>
  <si>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</si>
  <si>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</si>
  <si>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</si>
  <si>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</si>
  <si>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</si>
  <si>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</si>
  <si>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</si>
  <si>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</si>
  <si>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</si>
  <si>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</si>
  <si>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</si>
  <si>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</si>
  <si>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</si>
  <si>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</si>
  <si>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</si>
  <si>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</si>
  <si>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</si>
  <si>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</si>
  <si>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</si>
  <si>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</si>
  <si>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</si>
  <si>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</si>
  <si>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</si>
  <si>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</si>
  <si>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</si>
  <si>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</si>
  <si>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</si>
  <si>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</si>
  <si>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</si>
  <si>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</si>
  <si>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</si>
  <si>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</si>
  <si>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</si>
  <si>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</si>
  <si>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</si>
  <si>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</si>
  <si>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</si>
  <si>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</si>
  <si>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</si>
  <si>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</si>
  <si>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</si>
  <si>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</si>
  <si>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</si>
  <si>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</si>
  <si>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</si>
  <si>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</si>
  <si>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</si>
  <si>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</si>
  <si>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</si>
  <si>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</si>
  <si>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</si>
  <si>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</si>
  <si>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</si>
  <si>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</si>
  <si>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</si>
  <si>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</si>
  <si>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</si>
  <si>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</si>
  <si>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</si>
  <si>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</si>
  <si>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</si>
  <si>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</si>
  <si>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</si>
  <si>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</si>
  <si>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</si>
  <si>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</si>
  <si>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</si>
  <si>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</si>
  <si>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</si>
  <si>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</si>
  <si>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</si>
  <si>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</si>
  <si>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</si>
  <si>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</si>
  <si>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</si>
  <si>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</si>
  <si>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</si>
  <si>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</si>
  <si>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</si>
  <si>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</si>
  <si>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</si>
  <si>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</si>
  <si>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</si>
  <si>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</si>
  <si>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</si>
  <si>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</si>
  <si>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</si>
  <si>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</si>
  <si>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</si>
  <si>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</si>
  <si>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</si>
  <si>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</si>
  <si>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</si>
  <si>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</si>
  <si>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</si>
  <si>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</si>
  <si>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</si>
  <si>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</si>
  <si>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</si>
  <si>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</si>
  <si>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</si>
  <si>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</si>
  <si>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</si>
  <si>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</si>
  <si>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</si>
  <si>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</si>
  <si>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</si>
  <si>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</si>
  <si>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</si>
  <si>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</si>
  <si>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</si>
  <si>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</si>
  <si>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</si>
  <si>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</si>
  <si>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</si>
  <si>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</si>
  <si>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</si>
  <si>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</si>
  <si>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</si>
  <si>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</si>
  <si>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</si>
  <si>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</si>
  <si>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</si>
  <si>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</si>
  <si>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</si>
  <si>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</si>
  <si>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</si>
  <si>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</si>
  <si>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</si>
  <si>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</si>
  <si>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</si>
  <si>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</si>
  <si>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</si>
  <si>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</si>
  <si>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</si>
  <si>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</si>
  <si>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</si>
  <si>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</si>
  <si>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</si>
  <si>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</si>
  <si>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</si>
  <si>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</si>
  <si>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</si>
  <si>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</si>
  <si>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</si>
  <si>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</si>
  <si>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</si>
  <si>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</si>
  <si>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</si>
  <si>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</si>
  <si>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</si>
  <si>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</si>
  <si>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</si>
  <si>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</si>
  <si>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</si>
  <si>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</si>
  <si>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</si>
  <si>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</si>
  <si>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</si>
  <si>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</si>
  <si>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</si>
  <si>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</si>
  <si>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</si>
  <si>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</si>
  <si>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</si>
  <si>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</si>
  <si>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</si>
  <si>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</si>
  <si>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</si>
  <si>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</si>
  <si>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</si>
  <si>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</si>
  <si>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</si>
  <si>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</si>
  <si>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</si>
  <si>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</si>
  <si>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</si>
  <si>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</si>
  <si>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</si>
  <si>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</si>
  <si>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</si>
  <si>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</si>
  <si>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</si>
  <si>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</si>
  <si>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</si>
  <si>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</si>
  <si>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</si>
  <si>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</si>
  <si>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</si>
  <si>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</si>
  <si>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</si>
  <si>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</si>
  <si>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</si>
  <si>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</si>
  <si>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</si>
  <si>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</si>
  <si>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</si>
  <si>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</si>
  <si>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</si>
  <si>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</si>
  <si>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</si>
  <si>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</si>
  <si>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</si>
  <si>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</si>
  <si>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</si>
  <si>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</si>
  <si>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</si>
  <si>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</si>
  <si>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</si>
  <si>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</si>
  <si>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</si>
  <si>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</si>
  <si>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</si>
  <si>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</si>
  <si>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</si>
  <si>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</si>
  <si>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</si>
  <si>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</si>
  <si>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</si>
  <si>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</si>
  <si>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</si>
  <si>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</si>
  <si>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</si>
  <si>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</si>
  <si>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</si>
  <si>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</si>
  <si>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</si>
  <si>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</si>
  <si>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</si>
  <si>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</si>
  <si>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</si>
  <si>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</si>
  <si>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因預期外的一般捐贈所致。</t>
    <phoneticPr fontId="10" type="noConversion"/>
  </si>
  <si>
    <t>差異未超過20%</t>
  </si>
  <si>
    <t>差異超過20%，原因及改進意見：</t>
  </si>
  <si>
    <t>因114學年度國民小學一般智能資優鑑定初選報名費提前收取。</t>
    <phoneticPr fontId="10" type="noConversion"/>
  </si>
  <si>
    <t>1.其他設備：</t>
    <phoneticPr fontId="10" type="noConversion"/>
  </si>
  <si>
    <t>業務單位尚未提出需求。</t>
    <phoneticPr fontId="10" type="noConversion"/>
  </si>
  <si>
    <t>退休及離職準備金</t>
  </si>
  <si>
    <t>應付退休及離職金</t>
    <phoneticPr fontId="10" type="noConversion"/>
  </si>
  <si>
    <t>差異</t>
    <phoneticPr fontId="10" type="noConversion"/>
  </si>
  <si>
    <t>三、</t>
    <phoneticPr fontId="10" type="noConversion"/>
  </si>
  <si>
    <t>各帳戶對帳單餘額經核無誤，回單用印後送還臺灣銀行彰化分行，餘陳閱後存查。</t>
    <phoneticPr fontId="10" type="noConversion"/>
  </si>
  <si>
    <t>已至網銀列印當月明細表並核對餘額正確，併入當月會計報告。</t>
    <phoneticPr fontId="10" type="noConversion"/>
  </si>
  <si>
    <t>收回正式專任輔導教師(楊珮琪)113年8-9月機關負擔退撫基金(因短扣，誤由113年度基金預算支應)。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</si>
  <si>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</si>
  <si>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</si>
  <si>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</si>
  <si>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</si>
  <si>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</si>
  <si>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</si>
  <si>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</si>
  <si>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</si>
  <si>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</si>
  <si>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</si>
  <si>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</si>
  <si>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</si>
  <si>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</si>
  <si>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</si>
  <si>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</si>
  <si>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</si>
  <si>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</si>
  <si>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</si>
  <si>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</si>
  <si>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</si>
  <si>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</si>
  <si>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</si>
  <si>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</si>
  <si>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</si>
  <si>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</si>
  <si>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</si>
  <si>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</si>
  <si>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</si>
  <si>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</si>
  <si>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</si>
  <si>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</si>
  <si>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</si>
  <si>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</si>
  <si>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</si>
  <si>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</si>
  <si>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</si>
  <si>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</si>
  <si>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</si>
  <si>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</si>
  <si>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</si>
  <si>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</si>
  <si>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</si>
  <si>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</si>
  <si>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</si>
  <si>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</si>
  <si>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</si>
  <si>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</si>
  <si>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</si>
  <si>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</si>
  <si>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</si>
  <si>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</si>
  <si>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</si>
  <si>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</si>
  <si>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</si>
  <si>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</si>
  <si>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</si>
  <si>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</si>
  <si>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</si>
  <si>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</si>
  <si>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</si>
  <si>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</si>
  <si>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應付費用</t>
  </si>
  <si>
    <t>210204</t>
  </si>
  <si>
    <t>其他負債</t>
  </si>
  <si>
    <t>28</t>
  </si>
  <si>
    <t>什項負債</t>
  </si>
  <si>
    <t>2801</t>
  </si>
  <si>
    <t>存入保證金</t>
  </si>
  <si>
    <t>280104</t>
  </si>
  <si>
    <t>應付退休及離職金</t>
  </si>
  <si>
    <t>280106</t>
  </si>
  <si>
    <t>淨資產</t>
  </si>
  <si>
    <t>3</t>
  </si>
  <si>
    <t>31</t>
  </si>
  <si>
    <t>3101</t>
  </si>
  <si>
    <t>累積餘額</t>
  </si>
  <si>
    <t>310101</t>
  </si>
  <si>
    <t>本期短絀</t>
  </si>
  <si>
    <t>310103</t>
  </si>
  <si>
    <t>淨資產調整數</t>
  </si>
  <si>
    <t>310104</t>
  </si>
  <si>
    <t>####</t>
  </si>
  <si>
    <t>用人費用</t>
  </si>
  <si>
    <t>-58.67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</si>
  <si>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</si>
  <si>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</si>
  <si>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</si>
  <si>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</si>
  <si>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</si>
  <si>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</si>
  <si>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</si>
  <si>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</si>
  <si>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</si>
  <si>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</si>
  <si>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</si>
  <si>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</si>
  <si>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</si>
  <si>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</si>
  <si>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</si>
  <si>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</si>
  <si>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</si>
  <si>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</si>
  <si>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</si>
  <si>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</si>
  <si>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</si>
  <si>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</si>
  <si>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</si>
  <si>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</si>
  <si>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-71.82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</si>
  <si>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</si>
  <si>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</si>
  <si>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</si>
  <si>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</si>
  <si>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</si>
  <si>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</si>
  <si>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</si>
  <si>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</si>
  <si>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</si>
  <si>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</si>
  <si>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</si>
  <si>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</si>
  <si>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</si>
  <si>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</si>
  <si>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</si>
  <si>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</si>
  <si>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</si>
  <si>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</si>
  <si>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</si>
  <si>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</si>
  <si>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</si>
  <si>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</si>
  <si>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</si>
  <si>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</si>
  <si>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</si>
  <si>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</si>
  <si>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</si>
  <si>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</si>
  <si>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</si>
  <si>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</si>
  <si>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</si>
  <si>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</si>
  <si>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</si>
  <si>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</si>
  <si>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</si>
  <si>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</si>
  <si>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</si>
  <si>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</si>
  <si>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</si>
  <si>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</si>
  <si>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28Y</t>
  </si>
  <si>
    <t>其他專業服務費</t>
  </si>
  <si>
    <t>材料及用品費</t>
  </si>
  <si>
    <t>-74.31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</si>
  <si>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</si>
  <si>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</si>
  <si>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</si>
  <si>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</si>
  <si>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</si>
  <si>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</si>
  <si>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</si>
  <si>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</si>
  <si>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</si>
  <si>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</si>
  <si>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</si>
  <si>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</si>
  <si>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</si>
  <si>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</si>
  <si>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-100.00</t>
  </si>
  <si>
    <t>5</t>
  </si>
  <si>
    <t>購建固定資產、無形資產、非理財目的之長期投資及營舍與設施工程支出</t>
  </si>
  <si>
    <t>51</t>
  </si>
  <si>
    <t>購建固定資產</t>
  </si>
  <si>
    <t>514</t>
  </si>
  <si>
    <t>購置機械及設備</t>
  </si>
  <si>
    <t>516</t>
  </si>
  <si>
    <t>購置雜項設備</t>
  </si>
  <si>
    <t>7</t>
  </si>
  <si>
    <t>會費、捐助、補助、分攤、照護、救濟與交流活動費</t>
  </si>
  <si>
    <t>-74.02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</si>
  <si>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</si>
  <si>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</si>
  <si>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</si>
  <si>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</si>
  <si>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</si>
  <si>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</si>
  <si>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</si>
  <si>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</si>
  <si>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</si>
  <si>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</si>
  <si>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</si>
  <si>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</si>
  <si>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</si>
  <si>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-86.08</t>
  </si>
  <si>
    <t>91</t>
  </si>
  <si>
    <t>其他支出</t>
  </si>
  <si>
    <t>91Y</t>
  </si>
  <si>
    <t>合       計</t>
  </si>
  <si>
    <t>-59.17</t>
  </si>
  <si>
    <t>11453012280030100</t>
  </si>
  <si>
    <t>地方教育發展基金</t>
  </si>
  <si>
    <t/>
  </si>
  <si>
    <t>上期結餘</t>
  </si>
  <si>
    <t>114/04/01</t>
  </si>
  <si>
    <t>00047</t>
  </si>
  <si>
    <t>0400199</t>
  </si>
  <si>
    <t>支付數</t>
  </si>
  <si>
    <t>00048</t>
  </si>
  <si>
    <t>0400200</t>
  </si>
  <si>
    <t>00049</t>
  </si>
  <si>
    <t>0400201</t>
  </si>
  <si>
    <t>114/04/08</t>
  </si>
  <si>
    <t>00050</t>
  </si>
  <si>
    <t>0401150</t>
  </si>
  <si>
    <t>00051</t>
  </si>
  <si>
    <t>0401151</t>
  </si>
  <si>
    <t>114/04/09</t>
  </si>
  <si>
    <t>00052</t>
  </si>
  <si>
    <t>0401416</t>
  </si>
  <si>
    <t>114/04/11</t>
  </si>
  <si>
    <t>13992940184578</t>
  </si>
  <si>
    <t>收入數</t>
  </si>
  <si>
    <t>13997840184582</t>
  </si>
  <si>
    <t>00053</t>
  </si>
  <si>
    <t>0402046</t>
  </si>
  <si>
    <t>114/04/14</t>
  </si>
  <si>
    <t>00054</t>
  </si>
  <si>
    <t>0402234</t>
  </si>
  <si>
    <t>114/04/17</t>
  </si>
  <si>
    <t>13991940184920</t>
  </si>
  <si>
    <t>00055</t>
  </si>
  <si>
    <t>0403293</t>
  </si>
  <si>
    <t>114/04/21</t>
  </si>
  <si>
    <t>13990340185126</t>
  </si>
  <si>
    <t>114/04/24</t>
  </si>
  <si>
    <t>00058</t>
  </si>
  <si>
    <t>0404345</t>
  </si>
  <si>
    <t>00059</t>
  </si>
  <si>
    <t>0404346</t>
  </si>
  <si>
    <t>114/04/30</t>
  </si>
  <si>
    <t>00056</t>
  </si>
  <si>
    <t>0404708</t>
  </si>
  <si>
    <t>00057</t>
  </si>
  <si>
    <t>0404709</t>
  </si>
  <si>
    <t>小計</t>
  </si>
  <si>
    <t>113學年度員工旅遊補助-郭育廷人事助理員</t>
    <phoneticPr fontId="10" type="noConversion"/>
  </si>
  <si>
    <t>總和 :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</si>
  <si>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</si>
  <si>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</si>
  <si>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</si>
  <si>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</si>
  <si>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</si>
  <si>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</si>
  <si>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</si>
  <si>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</si>
  <si>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</si>
  <si>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</si>
  <si>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</si>
  <si>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</si>
  <si>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</si>
  <si>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</si>
  <si>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</si>
  <si>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</si>
  <si>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</si>
  <si>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</si>
  <si>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</si>
  <si>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</si>
  <si>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</si>
  <si>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</si>
  <si>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</si>
  <si>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</si>
  <si>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</si>
  <si>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Y11401  存入保證金-履約保證金--m11402英語國際村計畫-熱點影像科技(有)</t>
  </si>
  <si>
    <t>P00002  應付代收款-其他項目-教職員午餐費</t>
  </si>
  <si>
    <t>P00001  應付代收款-其他項目-其他</t>
  </si>
  <si>
    <t>NA0008  應付代收款-繳庫項目-拾金不昧</t>
  </si>
  <si>
    <t>NA0007  應付代收款-繳庫項目-一般捐贈</t>
  </si>
  <si>
    <t>NA0003  應付代收款-繳庫項目-招標文件費</t>
  </si>
  <si>
    <t>NA0001  應付代收款-繳庫項目-場地設施使用費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</si>
  <si>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</si>
  <si>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</si>
  <si>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</si>
  <si>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</si>
  <si>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</si>
  <si>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</si>
  <si>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</si>
  <si>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</si>
  <si>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</si>
  <si>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</si>
  <si>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</si>
  <si>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</si>
  <si>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</si>
  <si>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</si>
  <si>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</si>
  <si>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</si>
  <si>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</si>
  <si>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K00007  應付代收款-各項專案人員薪資-特教助理員人事經費</t>
  </si>
  <si>
    <t>K00005  應付代收款-各項專案人員薪資-校園安全維護人員薪資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</si>
  <si>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</si>
  <si>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</si>
  <si>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</si>
  <si>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IE0000  應付代收款-各項補助經費-英資中心</t>
  </si>
  <si>
    <t>ID0008  應付代收款-各項補助經費-總務處-公立國中小學班班有冷氣電費及維護費經費</t>
  </si>
  <si>
    <t>ID0007  應付代收款-國有土地被占用之使用補償金</t>
  </si>
  <si>
    <t>ID0005  應付代收款-各項補助經費-總務處-教育部非營利幼兒園業務經費</t>
  </si>
  <si>
    <t>ID0000  應付代收款-各項補助經費-總務處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</si>
  <si>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</si>
  <si>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</si>
  <si>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</si>
  <si>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</si>
  <si>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</si>
  <si>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</si>
  <si>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</si>
  <si>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</si>
  <si>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IA0005  應付代收款-各項補助經費-教務處-教專認證增能計畫預撥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</si>
  <si>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</si>
  <si>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</si>
  <si>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</si>
  <si>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</si>
  <si>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G00025  應付代收款-社團活動-街舞社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</si>
  <si>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</si>
  <si>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</si>
  <si>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</si>
  <si>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</si>
  <si>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</si>
  <si>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</si>
  <si>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</si>
  <si>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</si>
  <si>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</si>
  <si>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</si>
  <si>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</si>
  <si>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</si>
  <si>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</si>
  <si>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</si>
  <si>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</si>
  <si>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</si>
  <si>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</si>
  <si>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</si>
  <si>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</si>
  <si>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</si>
  <si>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</si>
  <si>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</si>
  <si>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</si>
  <si>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</si>
  <si>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</si>
  <si>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</si>
  <si>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</si>
  <si>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</si>
  <si>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</si>
  <si>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</si>
  <si>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</si>
  <si>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</si>
  <si>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</si>
  <si>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</si>
  <si>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</si>
  <si>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</si>
  <si>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</si>
  <si>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</si>
  <si>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</si>
  <si>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</si>
  <si>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</si>
  <si>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</si>
  <si>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</si>
  <si>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</si>
  <si>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</si>
  <si>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</si>
  <si>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</si>
  <si>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</si>
  <si>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中華民國114年1月1日至114年4月30日</t>
  </si>
  <si>
    <t>代收代辦經費收支餘額表</t>
  </si>
  <si>
    <t>彰化縣地方教育發展基金－彰化縣彰化市民生國民小學</t>
  </si>
  <si>
    <t>122-1</t>
  </si>
  <si>
    <t>13996140185656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</si>
</sst>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6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sz val="12"/>
      <color theme="0" tint="-4.9989318521683403E-2"/>
      <name val="標楷體"/>
      <family val="4"/>
      <charset val="136"/>
    </font>
    <font>
      <sz val="10"/>
      <color rgb="FF000000"/>
      <name val="新細明體"/>
      <family val="2"/>
      <charset val="136"/>
    </font>
    <font>
      <b/>
      <sz val="12"/>
      <color rgb="FFFF0000"/>
      <name val="ARIAL"/>
      <family val="2"/>
    </font>
    <font>
      <sz val="12"/>
      <color rgb="FF000000"/>
      <name val="細明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3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vertical="center"/>
    </xf>
    <xf numFmtId="0" fontId="104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center"/>
    </xf>
    <xf numFmtId="0" fontId="105" fillId="0" borderId="0" xfId="0" applyFont="1" applyAlignment="1">
      <alignment horizontal="center" vertical="top"/>
    </xf>
    <xf numFmtId="176" fontId="106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7" fillId="0" borderId="0" xfId="0" applyFont="1" applyAlignment="1"/>
    <xf numFmtId="0" fontId="108" fillId="0" borderId="0" xfId="0" applyFont="1" applyAlignment="1"/>
    <xf numFmtId="0" fontId="39" fillId="0" borderId="0" xfId="0" applyFont="1">
      <alignment vertical="top"/>
    </xf>
    <xf numFmtId="0" fontId="109" fillId="0" borderId="0" xfId="0" applyFont="1">
      <alignment vertical="top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177" fontId="110" fillId="4" borderId="0" xfId="7" applyNumberFormat="1" applyFont="1" applyFill="1">
      <alignment vertical="top"/>
    </xf>
    <xf numFmtId="0" fontId="111" fillId="0" borderId="0" xfId="0" applyFont="1">
      <alignment vertical="top"/>
    </xf>
    <xf numFmtId="180" fontId="8" fillId="0" borderId="0" xfId="7" applyNumberFormat="1" applyFont="1">
      <alignment vertical="top"/>
    </xf>
    <xf numFmtId="180" fontId="20" fillId="0" borderId="0" xfId="7" applyNumberFormat="1" applyFont="1" applyAlignment="1">
      <alignment horizontal="center" vertical="center" wrapText="1"/>
    </xf>
    <xf numFmtId="180" fontId="20" fillId="0" borderId="0" xfId="7" applyNumberFormat="1" applyFont="1" applyAlignment="1">
      <alignment horizontal="center" vertical="center"/>
    </xf>
    <xf numFmtId="180" fontId="8" fillId="0" borderId="0" xfId="0" applyNumberFormat="1" applyFont="1">
      <alignment vertical="top"/>
    </xf>
    <xf numFmtId="0" fontId="0" fillId="0" borderId="0" xfId="0">
      <alignment vertical="top"/>
    </xf>
    <xf numFmtId="0" fontId="7" fillId="0" borderId="0" xfId="0" applyFont="1" applyAlignment="1"/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3" fontId="112" fillId="0" borderId="0" xfId="0" applyNumberFormat="1" applyFont="1" applyAlignment="1">
      <alignment horizontal="right" vertical="top"/>
    </xf>
    <xf numFmtId="0" fontId="11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3" fontId="0" fillId="15" borderId="0" xfId="0" applyNumberFormat="1" applyFill="1">
      <alignment vertical="top"/>
    </xf>
    <xf numFmtId="3" fontId="0" fillId="16" borderId="0" xfId="0" applyNumberForma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3" fontId="0" fillId="17" borderId="0" xfId="0" applyNumberFormat="1" applyFill="1">
      <alignment vertical="top"/>
    </xf>
    <xf numFmtId="3" fontId="46" fillId="0" borderId="1" xfId="0" applyNumberFormat="1" applyFont="1" applyBorder="1" applyAlignment="1">
      <alignment vertical="top" wrapText="1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103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3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3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3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1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115" fillId="0" borderId="0" xfId="0" applyFont="1" applyAlignment="1">
      <alignment horizontal="right" vertical="top"/>
    </xf>
    <xf numFmtId="0" fontId="114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47" fillId="0" borderId="0" xfId="0" applyFont="1" applyAlignment="1">
      <alignment vertical="top" wrapText="1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/>
    <xf numFmtId="0" fontId="22" fillId="0" borderId="13" xfId="6" applyBorder="1"/>
    <xf numFmtId="0" fontId="22" fillId="0" borderId="15" xfId="6" applyBorder="1"/>
    <xf numFmtId="0" fontId="22" fillId="0" borderId="14" xfId="6" applyBorder="1"/>
    <xf numFmtId="0" fontId="22" fillId="0" borderId="4" xfId="6" applyBorder="1"/>
    <xf numFmtId="0" fontId="22" fillId="0" borderId="3" xfId="6" applyBorder="1"/>
    <xf numFmtId="0" fontId="22" fillId="0" borderId="2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9" fillId="0" borderId="3" xfId="6" applyFont="1" applyBorder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b/>
        <i/>
        <strike/>
        <color rgb="FFFF0000"/>
      </font>
      <fill>
        <patternFill>
          <bgColor theme="1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78</xdr:row>
      <xdr:rowOff>68111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33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41</xdr:row>
      <xdr:rowOff>29534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N13"/>
          <cell r="O13"/>
          <cell r="P13"/>
          <cell r="Q13" t="str">
            <v>2</v>
          </cell>
          <cell r="R13"/>
          <cell r="S13"/>
          <cell r="T13">
            <v>17196935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14168336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14168336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14168336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3028599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3028599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889593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2139006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340020770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340020770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340020770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本期短絀</v>
          </cell>
          <cell r="O26"/>
          <cell r="P26"/>
          <cell r="Q26" t="str">
            <v>310103</v>
          </cell>
          <cell r="R26"/>
          <cell r="S26"/>
          <cell r="T26">
            <v>-3089593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357217705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/>
          <cell r="T77"/>
        </row>
        <row r="78">
          <cell r="N78"/>
          <cell r="O78"/>
          <cell r="P78"/>
          <cell r="Q78"/>
          <cell r="R78"/>
          <cell r="S78"/>
          <cell r="T78"/>
        </row>
        <row r="79">
          <cell r="N79"/>
          <cell r="O79"/>
          <cell r="P79"/>
          <cell r="Q79"/>
          <cell r="R79"/>
          <cell r="S79"/>
          <cell r="T79"/>
        </row>
        <row r="80">
          <cell r="N80"/>
          <cell r="O80"/>
          <cell r="P80"/>
          <cell r="Q80"/>
          <cell r="R80"/>
          <cell r="S80"/>
          <cell r="T80"/>
        </row>
        <row r="81">
          <cell r="N81"/>
          <cell r="O81"/>
          <cell r="P81"/>
          <cell r="Q81"/>
          <cell r="R81"/>
          <cell r="S81"/>
          <cell r="T81"/>
        </row>
        <row r="82">
          <cell r="N82"/>
          <cell r="O82"/>
          <cell r="P82"/>
          <cell r="Q82"/>
          <cell r="R82"/>
          <cell r="S82"/>
          <cell r="T82"/>
        </row>
        <row r="83">
          <cell r="N83"/>
          <cell r="O83"/>
          <cell r="P83"/>
          <cell r="Q83"/>
          <cell r="R83"/>
          <cell r="S83"/>
          <cell r="T83"/>
        </row>
      </sheetData>
      <sheetData sheetId="8"/>
      <sheetData sheetId="9"/>
      <sheetData sheetId="10"/>
      <sheetData sheetId="11"/>
      <sheetData sheetId="12"/>
      <sheetData sheetId="13">
        <row r="14">
          <cell r="N14">
            <v>46502096</v>
          </cell>
        </row>
        <row r="15">
          <cell r="N15">
            <v>143644</v>
          </cell>
        </row>
        <row r="16">
          <cell r="N16">
            <v>143644</v>
          </cell>
        </row>
        <row r="17">
          <cell r="N17">
            <v>494452</v>
          </cell>
        </row>
        <row r="18">
          <cell r="N18">
            <v>0</v>
          </cell>
        </row>
        <row r="19">
          <cell r="N19">
            <v>760</v>
          </cell>
        </row>
        <row r="20">
          <cell r="N20">
            <v>97722</v>
          </cell>
        </row>
        <row r="21">
          <cell r="N21">
            <v>395970</v>
          </cell>
        </row>
        <row r="22">
          <cell r="N22">
            <v>45864000</v>
          </cell>
        </row>
        <row r="23">
          <cell r="N23">
            <v>45864000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49591689</v>
          </cell>
        </row>
        <row r="28">
          <cell r="N28">
            <v>45680800</v>
          </cell>
        </row>
        <row r="29">
          <cell r="N29">
            <v>45680800</v>
          </cell>
        </row>
        <row r="30">
          <cell r="N30">
            <v>899295</v>
          </cell>
        </row>
        <row r="31">
          <cell r="N31">
            <v>899295</v>
          </cell>
        </row>
        <row r="32">
          <cell r="N32">
            <v>2599</v>
          </cell>
        </row>
        <row r="33">
          <cell r="N33">
            <v>2599</v>
          </cell>
        </row>
        <row r="34">
          <cell r="N34">
            <v>2988395</v>
          </cell>
        </row>
        <row r="35">
          <cell r="N35">
            <v>2969486</v>
          </cell>
        </row>
        <row r="36">
          <cell r="N36">
            <v>18909</v>
          </cell>
        </row>
        <row r="37">
          <cell r="N37">
            <v>20600</v>
          </cell>
        </row>
        <row r="38">
          <cell r="N38">
            <v>20600</v>
          </cell>
        </row>
        <row r="39">
          <cell r="N39">
            <v>-3089593</v>
          </cell>
        </row>
        <row r="41">
          <cell r="N41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463</v>
      </c>
    </row>
    <row r="4" spans="1:14" ht="36.75">
      <c r="A4" s="585" t="s">
        <v>269</v>
      </c>
      <c r="B4" s="586"/>
      <c r="C4" s="586"/>
      <c r="D4" s="586"/>
      <c r="E4" s="586"/>
      <c r="F4" s="586"/>
      <c r="G4" s="586"/>
      <c r="H4" s="586"/>
      <c r="I4" s="586"/>
      <c r="J4" s="586"/>
      <c r="K4" s="586"/>
      <c r="L4" s="586"/>
      <c r="M4" s="586"/>
      <c r="N4" s="586"/>
    </row>
    <row r="5" spans="1:14" ht="59.25" customHeight="1"/>
    <row r="6" spans="1:14" ht="59.25" customHeight="1"/>
    <row r="7" spans="1:14" ht="36.75">
      <c r="C7" s="587" t="s">
        <v>116</v>
      </c>
      <c r="D7" s="587"/>
      <c r="E7" s="587"/>
      <c r="F7" s="587"/>
      <c r="G7" s="587"/>
      <c r="H7" s="587"/>
      <c r="I7" s="587"/>
      <c r="J7" s="587"/>
      <c r="K7" s="587"/>
      <c r="L7" s="587"/>
    </row>
    <row r="8" spans="1:14" ht="51.75" customHeight="1"/>
    <row r="9" spans="1:14" ht="51.75" customHeight="1"/>
    <row r="10" spans="1:14" s="54" customFormat="1" ht="32.25">
      <c r="C10" s="284"/>
      <c r="D10" s="284"/>
      <c r="E10" s="588" t="s">
        <v>117</v>
      </c>
      <c r="F10" s="588"/>
      <c r="G10" s="588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589" t="s">
        <v>120</v>
      </c>
      <c r="C15" s="589"/>
      <c r="D15" s="589"/>
      <c r="E15" s="589"/>
      <c r="F15" s="589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J11" sqref="J11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18.7109375" style="551" bestFit="1" customWidth="1"/>
    <col min="9" max="9" width="10.7109375" style="551" bestFit="1" customWidth="1"/>
    <col min="10" max="10" width="10.7109375" style="49" bestFit="1" customWidth="1"/>
    <col min="11" max="16384" width="9.140625" style="49"/>
  </cols>
  <sheetData>
    <row r="1" spans="1:11" s="69" customFormat="1" ht="19.5">
      <c r="A1" s="697" t="str">
        <f>封面!$A$4</f>
        <v>彰化縣地方教育發展基金－彰化縣彰化市民生國民小學</v>
      </c>
      <c r="B1" s="697"/>
      <c r="C1" s="697"/>
      <c r="D1" s="697"/>
      <c r="E1" s="697"/>
      <c r="F1" s="697"/>
      <c r="G1" s="698"/>
      <c r="H1" s="551"/>
      <c r="I1" s="551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H2" s="551"/>
      <c r="I2" s="551"/>
      <c r="J2" s="201"/>
      <c r="K2" s="182"/>
    </row>
    <row r="3" spans="1:11" s="69" customFormat="1" ht="14.25" hidden="1" customHeight="1">
      <c r="A3" s="205"/>
      <c r="H3" s="551"/>
      <c r="I3" s="551"/>
      <c r="J3" s="201"/>
      <c r="K3" s="182"/>
    </row>
    <row r="4" spans="1:11" s="69" customFormat="1" ht="21">
      <c r="A4" s="701" t="s">
        <v>261</v>
      </c>
      <c r="B4" s="701"/>
      <c r="C4" s="701"/>
      <c r="D4" s="701"/>
      <c r="E4" s="701"/>
      <c r="F4" s="701"/>
      <c r="G4" s="698"/>
      <c r="H4" s="551"/>
      <c r="I4" s="551"/>
      <c r="J4" s="201"/>
      <c r="K4" s="182"/>
    </row>
    <row r="5" spans="1:11" s="69" customFormat="1" ht="6.75" customHeight="1">
      <c r="A5" s="205"/>
      <c r="H5" s="551"/>
      <c r="I5" s="551"/>
      <c r="J5" s="201"/>
      <c r="K5" s="182"/>
    </row>
    <row r="6" spans="1:11" s="69" customFormat="1" ht="16.5">
      <c r="A6" s="700" t="str">
        <f>封面!$E$10&amp;封面!$H$10&amp;封面!$I$10&amp;封面!$J$10&amp;封面!$K$10&amp;封面!L10</f>
        <v>中華民國114年4月份</v>
      </c>
      <c r="B6" s="700"/>
      <c r="C6" s="700"/>
      <c r="D6" s="700"/>
      <c r="E6" s="700"/>
      <c r="F6" s="700"/>
      <c r="G6" s="698"/>
      <c r="H6" s="551"/>
      <c r="I6" s="551"/>
      <c r="J6" s="201"/>
      <c r="K6" s="182"/>
    </row>
    <row r="7" spans="1:11" s="69" customFormat="1" ht="14.25" customHeight="1">
      <c r="A7" s="638" t="s">
        <v>39</v>
      </c>
      <c r="B7" s="638"/>
      <c r="C7" s="638"/>
      <c r="D7" s="638"/>
      <c r="E7" s="638"/>
      <c r="F7" s="638"/>
      <c r="G7" s="698"/>
      <c r="H7" s="551"/>
      <c r="I7" s="551"/>
      <c r="J7" s="201"/>
      <c r="K7" s="182"/>
    </row>
    <row r="8" spans="1:11" s="202" customFormat="1" ht="28.5" customHeight="1">
      <c r="A8" s="632" t="s">
        <v>211</v>
      </c>
      <c r="B8" s="632" t="s">
        <v>262</v>
      </c>
      <c r="C8" s="632" t="s">
        <v>263</v>
      </c>
      <c r="D8" s="702" t="s">
        <v>266</v>
      </c>
      <c r="E8" s="703"/>
      <c r="F8" s="640" t="s">
        <v>267</v>
      </c>
      <c r="G8" s="651" t="s">
        <v>268</v>
      </c>
      <c r="H8" s="552"/>
      <c r="I8" s="552"/>
    </row>
    <row r="9" spans="1:11" s="203" customFormat="1" ht="28.5" customHeight="1">
      <c r="A9" s="699"/>
      <c r="B9" s="699"/>
      <c r="C9" s="699"/>
      <c r="D9" s="278" t="s">
        <v>264</v>
      </c>
      <c r="E9" s="278" t="s">
        <v>265</v>
      </c>
      <c r="F9" s="696"/>
      <c r="G9" s="704"/>
      <c r="H9" s="553"/>
      <c r="I9" s="553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9">
        <f t="shared" si="0"/>
        <v>664748</v>
      </c>
      <c r="E10" s="279">
        <f t="shared" si="0"/>
        <v>299579</v>
      </c>
      <c r="F10" s="279">
        <f t="shared" si="0"/>
        <v>3694267</v>
      </c>
      <c r="G10" s="279">
        <f t="shared" si="0"/>
        <v>331164965</v>
      </c>
    </row>
    <row r="11" spans="1:11" ht="15.75" hidden="1" customHeight="1">
      <c r="A11" s="208"/>
      <c r="B11" s="240"/>
      <c r="C11" s="240"/>
      <c r="D11" s="280"/>
      <c r="E11" s="280"/>
      <c r="F11" s="280"/>
      <c r="G11" s="280"/>
    </row>
    <row r="12" spans="1:11">
      <c r="A12" s="209" t="s">
        <v>204</v>
      </c>
      <c r="B12" s="240"/>
      <c r="C12" s="240"/>
      <c r="D12" s="280"/>
      <c r="E12" s="280"/>
      <c r="F12" s="280"/>
      <c r="G12" s="280">
        <f>B12-C12+D12-E12-F12</f>
        <v>0</v>
      </c>
    </row>
    <row r="13" spans="1:11" ht="15.75" hidden="1" customHeight="1">
      <c r="A13" s="209"/>
      <c r="B13" s="240"/>
      <c r="C13" s="320"/>
      <c r="D13" s="355"/>
      <c r="E13" s="355"/>
      <c r="F13" s="280"/>
      <c r="G13" s="280">
        <f t="shared" ref="G13:G41" si="1">B13-C13+D13-E13-F13</f>
        <v>0</v>
      </c>
    </row>
    <row r="14" spans="1:11">
      <c r="A14" s="209" t="s">
        <v>205</v>
      </c>
      <c r="B14" s="240">
        <v>169277745</v>
      </c>
      <c r="C14" s="356"/>
      <c r="D14" s="355"/>
      <c r="E14" s="355"/>
      <c r="F14" s="280"/>
      <c r="G14" s="280">
        <f t="shared" si="1"/>
        <v>169277745</v>
      </c>
      <c r="H14" s="551">
        <v>169277745</v>
      </c>
      <c r="I14" s="551">
        <f>G14-H14</f>
        <v>0</v>
      </c>
    </row>
    <row r="15" spans="1:11" ht="15.75" hidden="1" customHeight="1">
      <c r="A15" s="209"/>
      <c r="B15" s="240"/>
      <c r="C15" s="356"/>
      <c r="D15" s="355"/>
      <c r="E15" s="355"/>
      <c r="F15" s="280"/>
      <c r="G15" s="280">
        <f t="shared" si="1"/>
        <v>0</v>
      </c>
      <c r="I15" s="551">
        <f t="shared" ref="I15:I24" si="2">G15-H15</f>
        <v>0</v>
      </c>
    </row>
    <row r="16" spans="1:11">
      <c r="A16" s="209" t="s">
        <v>206</v>
      </c>
      <c r="B16" s="357">
        <v>27169487</v>
      </c>
      <c r="C16" s="358">
        <v>12789502</v>
      </c>
      <c r="D16" s="356"/>
      <c r="E16" s="355"/>
      <c r="F16" s="358">
        <v>623988</v>
      </c>
      <c r="G16" s="280">
        <f t="shared" si="1"/>
        <v>13755997</v>
      </c>
      <c r="H16" s="551">
        <v>13755997</v>
      </c>
      <c r="I16" s="551">
        <f t="shared" si="2"/>
        <v>0</v>
      </c>
    </row>
    <row r="17" spans="1:10" ht="15.75" hidden="1" customHeight="1">
      <c r="A17" s="209"/>
      <c r="B17" s="356"/>
      <c r="C17" s="356"/>
      <c r="D17" s="356"/>
      <c r="E17" s="355"/>
      <c r="F17" s="358"/>
      <c r="G17" s="280">
        <f t="shared" si="1"/>
        <v>0</v>
      </c>
      <c r="I17" s="551">
        <f t="shared" si="2"/>
        <v>0</v>
      </c>
    </row>
    <row r="18" spans="1:10">
      <c r="A18" s="209" t="s">
        <v>207</v>
      </c>
      <c r="B18" s="357">
        <v>256848064</v>
      </c>
      <c r="C18" s="358">
        <v>127900259</v>
      </c>
      <c r="D18" s="355"/>
      <c r="E18" s="355"/>
      <c r="F18" s="358">
        <v>1522396</v>
      </c>
      <c r="G18" s="280">
        <f t="shared" si="1"/>
        <v>127425409</v>
      </c>
      <c r="H18" s="551">
        <v>127425409</v>
      </c>
      <c r="I18" s="551">
        <f t="shared" si="2"/>
        <v>0</v>
      </c>
    </row>
    <row r="19" spans="1:10" ht="15.75" hidden="1" customHeight="1">
      <c r="A19" s="209"/>
      <c r="B19" s="356"/>
      <c r="C19" s="356"/>
      <c r="D19" s="356"/>
      <c r="E19" s="355"/>
      <c r="F19" s="358"/>
      <c r="G19" s="280">
        <f t="shared" si="1"/>
        <v>0</v>
      </c>
      <c r="I19" s="551">
        <f t="shared" si="2"/>
        <v>0</v>
      </c>
    </row>
    <row r="20" spans="1:10">
      <c r="A20" s="209" t="s">
        <v>208</v>
      </c>
      <c r="B20" s="357">
        <v>16717182</v>
      </c>
      <c r="C20" s="358">
        <v>11495514</v>
      </c>
      <c r="D20" s="358">
        <v>317238</v>
      </c>
      <c r="E20" s="355">
        <v>59970</v>
      </c>
      <c r="F20" s="358">
        <v>562407</v>
      </c>
      <c r="G20" s="280">
        <f t="shared" si="1"/>
        <v>4916529</v>
      </c>
      <c r="H20" s="551">
        <v>4916529</v>
      </c>
      <c r="I20" s="551">
        <f t="shared" si="2"/>
        <v>0</v>
      </c>
    </row>
    <row r="21" spans="1:10" ht="15.75" hidden="1" customHeight="1">
      <c r="A21" s="209"/>
      <c r="B21" s="356"/>
      <c r="C21" s="356"/>
      <c r="D21" s="356"/>
      <c r="E21" s="355"/>
      <c r="F21" s="358"/>
      <c r="G21" s="280">
        <f t="shared" si="1"/>
        <v>0</v>
      </c>
      <c r="I21" s="551">
        <f t="shared" si="2"/>
        <v>0</v>
      </c>
    </row>
    <row r="22" spans="1:10">
      <c r="A22" s="209" t="s">
        <v>209</v>
      </c>
      <c r="B22" s="357">
        <v>4172797</v>
      </c>
      <c r="C22" s="358">
        <v>3069218</v>
      </c>
      <c r="D22" s="358">
        <v>94040</v>
      </c>
      <c r="E22" s="355"/>
      <c r="F22" s="358">
        <v>159988</v>
      </c>
      <c r="G22" s="280">
        <f t="shared" si="1"/>
        <v>1037631</v>
      </c>
      <c r="H22" s="551">
        <v>1037631</v>
      </c>
      <c r="I22" s="551">
        <f t="shared" si="2"/>
        <v>0</v>
      </c>
    </row>
    <row r="23" spans="1:10" ht="15.75" hidden="1" customHeight="1">
      <c r="A23" s="209"/>
      <c r="B23" s="356"/>
      <c r="C23" s="356"/>
      <c r="D23" s="356"/>
      <c r="E23" s="280"/>
      <c r="F23" s="358"/>
      <c r="G23" s="280">
        <f t="shared" si="1"/>
        <v>0</v>
      </c>
      <c r="I23" s="551">
        <f t="shared" si="2"/>
        <v>0</v>
      </c>
    </row>
    <row r="24" spans="1:10">
      <c r="A24" s="209" t="s">
        <v>210</v>
      </c>
      <c r="B24" s="357">
        <v>40840420</v>
      </c>
      <c r="C24" s="358">
        <v>25528482</v>
      </c>
      <c r="D24" s="358">
        <v>253470</v>
      </c>
      <c r="E24" s="280">
        <v>214397</v>
      </c>
      <c r="F24" s="358">
        <v>825488</v>
      </c>
      <c r="G24" s="280">
        <f t="shared" si="1"/>
        <v>14525523</v>
      </c>
      <c r="H24" s="551">
        <v>14525523</v>
      </c>
      <c r="I24" s="551">
        <f t="shared" si="2"/>
        <v>0</v>
      </c>
      <c r="J24" s="554">
        <f>SUM(I16:I24)</f>
        <v>0</v>
      </c>
    </row>
    <row r="25" spans="1:10" ht="15.75" hidden="1" customHeight="1">
      <c r="A25" s="209"/>
      <c r="B25" s="240"/>
      <c r="C25" s="240"/>
      <c r="D25" s="280"/>
      <c r="E25" s="280"/>
      <c r="F25" s="280"/>
      <c r="G25" s="280">
        <f t="shared" si="1"/>
        <v>0</v>
      </c>
    </row>
    <row r="26" spans="1:10">
      <c r="A26" s="209" t="s">
        <v>431</v>
      </c>
      <c r="B26" s="240"/>
      <c r="C26" s="240"/>
      <c r="D26" s="280"/>
      <c r="E26" s="280"/>
      <c r="F26" s="280"/>
      <c r="G26" s="280">
        <f t="shared" si="1"/>
        <v>0</v>
      </c>
    </row>
    <row r="27" spans="1:10" ht="15.75" hidden="1" customHeight="1">
      <c r="A27" s="209"/>
      <c r="B27" s="240"/>
      <c r="C27" s="240"/>
      <c r="D27" s="280"/>
      <c r="E27" s="280"/>
      <c r="F27" s="280"/>
      <c r="G27" s="280">
        <f t="shared" si="1"/>
        <v>0</v>
      </c>
    </row>
    <row r="28" spans="1:10">
      <c r="A28" s="209" t="s">
        <v>432</v>
      </c>
      <c r="B28" s="240"/>
      <c r="C28" s="240"/>
      <c r="D28" s="280"/>
      <c r="E28" s="280"/>
      <c r="F28" s="280"/>
      <c r="G28" s="280">
        <f t="shared" si="1"/>
        <v>0</v>
      </c>
    </row>
    <row r="29" spans="1:10" ht="15.75" hidden="1" customHeight="1">
      <c r="A29" s="209"/>
      <c r="B29" s="240"/>
      <c r="C29" s="240"/>
      <c r="D29" s="280"/>
      <c r="E29" s="280"/>
      <c r="F29" s="280"/>
      <c r="G29" s="280">
        <f t="shared" si="1"/>
        <v>0</v>
      </c>
    </row>
    <row r="30" spans="1:10">
      <c r="A30" s="209" t="s">
        <v>433</v>
      </c>
      <c r="B30" s="240"/>
      <c r="C30" s="240"/>
      <c r="D30" s="280"/>
      <c r="E30" s="280"/>
      <c r="F30" s="280"/>
      <c r="G30" s="280">
        <f t="shared" si="1"/>
        <v>0</v>
      </c>
    </row>
    <row r="31" spans="1:10" hidden="1">
      <c r="A31" s="209"/>
      <c r="B31" s="240"/>
      <c r="C31" s="240"/>
      <c r="D31" s="280"/>
      <c r="E31" s="280"/>
      <c r="F31" s="280"/>
      <c r="G31" s="280">
        <f t="shared" si="1"/>
        <v>0</v>
      </c>
    </row>
    <row r="32" spans="1:10">
      <c r="A32" s="209" t="s">
        <v>49</v>
      </c>
      <c r="B32" s="240"/>
      <c r="C32" s="240"/>
      <c r="D32" s="280"/>
      <c r="E32" s="280"/>
      <c r="F32" s="280"/>
      <c r="G32" s="280">
        <f t="shared" si="1"/>
        <v>0</v>
      </c>
    </row>
    <row r="33" spans="1:9" hidden="1">
      <c r="A33" s="209"/>
      <c r="B33" s="240"/>
      <c r="C33" s="240"/>
      <c r="D33" s="280"/>
      <c r="E33" s="280"/>
      <c r="F33" s="280"/>
      <c r="G33" s="280">
        <f t="shared" si="1"/>
        <v>0</v>
      </c>
    </row>
    <row r="34" spans="1:9">
      <c r="A34" s="209" t="s">
        <v>198</v>
      </c>
      <c r="B34" s="240"/>
      <c r="C34" s="240"/>
      <c r="D34" s="280"/>
      <c r="E34" s="280"/>
      <c r="F34" s="280"/>
      <c r="G34" s="280">
        <f t="shared" si="1"/>
        <v>0</v>
      </c>
    </row>
    <row r="35" spans="1:9">
      <c r="A35" s="209" t="s">
        <v>50</v>
      </c>
      <c r="B35" s="240"/>
      <c r="C35" s="240"/>
      <c r="D35" s="280"/>
      <c r="E35" s="280"/>
      <c r="F35" s="280"/>
      <c r="G35" s="280">
        <f t="shared" si="1"/>
        <v>0</v>
      </c>
    </row>
    <row r="36" spans="1:9" hidden="1">
      <c r="A36" s="209"/>
      <c r="B36" s="240"/>
      <c r="C36" s="240"/>
      <c r="D36" s="280"/>
      <c r="E36" s="280"/>
      <c r="F36" s="280"/>
      <c r="G36" s="280">
        <f t="shared" si="1"/>
        <v>0</v>
      </c>
    </row>
    <row r="37" spans="1:9">
      <c r="A37" s="209" t="s">
        <v>434</v>
      </c>
      <c r="B37" s="240">
        <v>251343</v>
      </c>
      <c r="C37" s="240"/>
      <c r="D37" s="280"/>
      <c r="E37" s="280">
        <v>25212</v>
      </c>
      <c r="F37" s="280"/>
      <c r="G37" s="280">
        <f t="shared" si="1"/>
        <v>226131</v>
      </c>
    </row>
    <row r="38" spans="1:9" hidden="1">
      <c r="A38" s="209"/>
      <c r="B38" s="240"/>
      <c r="C38" s="240"/>
      <c r="D38" s="280"/>
      <c r="E38" s="280"/>
      <c r="F38" s="280"/>
      <c r="G38" s="280">
        <f t="shared" si="1"/>
        <v>0</v>
      </c>
    </row>
    <row r="39" spans="1:9">
      <c r="A39" s="209" t="s">
        <v>435</v>
      </c>
      <c r="B39" s="240"/>
      <c r="C39" s="240"/>
      <c r="D39" s="280"/>
      <c r="E39" s="280"/>
      <c r="F39" s="280"/>
      <c r="G39" s="280">
        <f t="shared" si="1"/>
        <v>0</v>
      </c>
    </row>
    <row r="40" spans="1:9" hidden="1">
      <c r="A40" s="209"/>
      <c r="B40" s="240"/>
      <c r="C40" s="240"/>
      <c r="D40" s="280"/>
      <c r="E40" s="280"/>
      <c r="F40" s="280"/>
      <c r="G40" s="280">
        <f t="shared" si="1"/>
        <v>0</v>
      </c>
    </row>
    <row r="41" spans="1:9">
      <c r="A41" s="210" t="s">
        <v>199</v>
      </c>
      <c r="B41" s="241"/>
      <c r="C41" s="241"/>
      <c r="D41" s="281"/>
      <c r="E41" s="281"/>
      <c r="F41" s="281"/>
      <c r="G41" s="281">
        <f t="shared" si="1"/>
        <v>0</v>
      </c>
    </row>
    <row r="42" spans="1:9" ht="16.5">
      <c r="G42" s="529">
        <f>G10-G37</f>
        <v>330938834</v>
      </c>
      <c r="H42" s="551">
        <v>331918209</v>
      </c>
      <c r="I42" s="551">
        <f t="shared" ref="I42" si="3">G42-H42</f>
        <v>-979375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J11" sqref="J11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7.42578125" style="3" bestFit="1" customWidth="1"/>
    <col min="15" max="16" width="16.7109375" style="3" customWidth="1"/>
    <col min="17" max="16384" width="6.85546875" style="3"/>
  </cols>
  <sheetData>
    <row r="1" spans="1:22" ht="19.5">
      <c r="A1" s="685" t="str">
        <f>封面!$A$4</f>
        <v>彰化縣地方教育發展基金－彰化縣彰化市民生國民小學</v>
      </c>
      <c r="B1" s="685"/>
      <c r="C1" s="685"/>
      <c r="D1" s="685"/>
      <c r="E1" s="685"/>
      <c r="F1" s="685"/>
      <c r="G1" s="685"/>
      <c r="H1" s="685"/>
      <c r="I1" s="685"/>
      <c r="J1" s="685"/>
      <c r="K1" s="685"/>
      <c r="L1" s="685"/>
      <c r="M1" s="685"/>
      <c r="N1" s="685"/>
      <c r="O1" s="685"/>
      <c r="P1" s="685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85" t="s">
        <v>427</v>
      </c>
      <c r="B4" s="685"/>
      <c r="C4" s="685"/>
      <c r="D4" s="685"/>
      <c r="E4" s="685"/>
      <c r="F4" s="685"/>
      <c r="G4" s="685"/>
      <c r="H4" s="685"/>
      <c r="I4" s="685"/>
      <c r="J4" s="685"/>
      <c r="K4" s="685"/>
      <c r="L4" s="685"/>
      <c r="M4" s="685"/>
      <c r="N4" s="685"/>
      <c r="O4" s="685"/>
      <c r="P4" s="685"/>
    </row>
    <row r="5" spans="1:22" ht="19.5" customHeight="1">
      <c r="A5" s="686" t="str">
        <f>封面!$E$10&amp;封面!$H$10&amp;封面!$I$10&amp;封面!$J$10&amp;封面!$K$10&amp;封面!L10</f>
        <v>中華民國114年4月份</v>
      </c>
      <c r="B5" s="686"/>
      <c r="C5" s="686"/>
      <c r="D5" s="686"/>
      <c r="E5" s="686"/>
      <c r="F5" s="686"/>
      <c r="G5" s="686"/>
      <c r="H5" s="686"/>
      <c r="I5" s="686"/>
      <c r="J5" s="686"/>
      <c r="K5" s="686"/>
      <c r="L5" s="686"/>
      <c r="M5" s="686"/>
      <c r="N5" s="686"/>
      <c r="O5" s="686"/>
      <c r="P5" s="686"/>
    </row>
    <row r="6" spans="1:22" ht="12.75" hidden="1">
      <c r="A6" s="686"/>
      <c r="B6" s="686"/>
      <c r="C6" s="686"/>
      <c r="D6" s="686"/>
      <c r="E6" s="686"/>
      <c r="F6" s="686"/>
      <c r="G6" s="686"/>
      <c r="H6" s="686"/>
      <c r="I6" s="686"/>
      <c r="J6" s="686"/>
      <c r="K6" s="686"/>
      <c r="L6" s="686"/>
      <c r="M6" s="686"/>
      <c r="N6" s="686"/>
      <c r="O6" s="686"/>
      <c r="P6" s="686"/>
    </row>
    <row r="7" spans="1:22" s="8" customFormat="1" ht="16.5">
      <c r="A7" s="728" t="s">
        <v>1</v>
      </c>
      <c r="B7" s="728"/>
      <c r="C7" s="728"/>
      <c r="D7" s="728"/>
      <c r="E7" s="728"/>
      <c r="F7" s="728"/>
      <c r="G7" s="728"/>
      <c r="H7" s="728"/>
      <c r="I7" s="728"/>
      <c r="J7" s="728"/>
      <c r="K7" s="728"/>
      <c r="L7" s="728"/>
      <c r="M7" s="728"/>
      <c r="N7" s="728"/>
      <c r="O7" s="728"/>
      <c r="P7" s="728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05" t="s">
        <v>429</v>
      </c>
      <c r="B10" s="706"/>
      <c r="C10" s="705" t="s">
        <v>56</v>
      </c>
      <c r="D10" s="711"/>
      <c r="E10" s="711"/>
      <c r="F10" s="711"/>
      <c r="G10" s="712"/>
      <c r="H10" s="721" t="s">
        <v>57</v>
      </c>
      <c r="I10" s="727" t="s">
        <v>55</v>
      </c>
      <c r="J10" s="726"/>
      <c r="K10" s="726"/>
      <c r="L10" s="726"/>
      <c r="M10" s="726"/>
      <c r="N10" s="726"/>
      <c r="O10" s="727" t="s">
        <v>58</v>
      </c>
      <c r="P10" s="721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07"/>
      <c r="B11" s="708"/>
      <c r="C11" s="713"/>
      <c r="D11" s="714"/>
      <c r="E11" s="714"/>
      <c r="F11" s="714"/>
      <c r="G11" s="715"/>
      <c r="H11" s="722"/>
      <c r="I11" s="726"/>
      <c r="J11" s="726"/>
      <c r="K11" s="726"/>
      <c r="L11" s="726"/>
      <c r="M11" s="726"/>
      <c r="N11" s="726"/>
      <c r="O11" s="726"/>
      <c r="P11" s="722"/>
      <c r="Q11" s="5"/>
      <c r="R11" s="5"/>
      <c r="S11" s="5"/>
      <c r="T11" s="5"/>
      <c r="U11" s="5"/>
      <c r="V11" s="5"/>
    </row>
    <row r="12" spans="1:22" s="21" customFormat="1" ht="12.75" customHeight="1">
      <c r="A12" s="707"/>
      <c r="B12" s="708"/>
      <c r="C12" s="713"/>
      <c r="D12" s="714"/>
      <c r="E12" s="714"/>
      <c r="F12" s="714"/>
      <c r="G12" s="715"/>
      <c r="H12" s="722"/>
      <c r="I12" s="726"/>
      <c r="J12" s="726"/>
      <c r="K12" s="726"/>
      <c r="L12" s="726"/>
      <c r="M12" s="726"/>
      <c r="N12" s="726"/>
      <c r="O12" s="726"/>
      <c r="P12" s="722"/>
      <c r="Q12" s="5"/>
      <c r="R12" s="5"/>
      <c r="S12" s="5"/>
      <c r="T12" s="5"/>
      <c r="U12" s="5"/>
      <c r="V12" s="5"/>
    </row>
    <row r="13" spans="1:22" s="5" customFormat="1" ht="12.75" hidden="1" customHeight="1">
      <c r="A13" s="707"/>
      <c r="B13" s="708"/>
      <c r="C13" s="716"/>
      <c r="D13" s="717"/>
      <c r="E13" s="717"/>
      <c r="F13" s="714"/>
      <c r="G13" s="715"/>
      <c r="H13" s="722"/>
      <c r="I13" s="726"/>
      <c r="J13" s="726"/>
      <c r="K13" s="726"/>
      <c r="L13" s="726"/>
      <c r="M13" s="726"/>
      <c r="N13" s="726"/>
      <c r="O13" s="726"/>
      <c r="P13" s="722"/>
    </row>
    <row r="14" spans="1:22" s="5" customFormat="1" ht="12.75" customHeight="1">
      <c r="A14" s="707"/>
      <c r="B14" s="708"/>
      <c r="C14" s="718"/>
      <c r="D14" s="719"/>
      <c r="E14" s="719"/>
      <c r="F14" s="720"/>
      <c r="G14" s="690"/>
      <c r="H14" s="722"/>
      <c r="I14" s="726"/>
      <c r="J14" s="726"/>
      <c r="K14" s="726"/>
      <c r="L14" s="726"/>
      <c r="M14" s="726"/>
      <c r="N14" s="726"/>
      <c r="O14" s="726"/>
      <c r="P14" s="722"/>
    </row>
    <row r="15" spans="1:22" s="5" customFormat="1" ht="12.75" customHeight="1">
      <c r="A15" s="707"/>
      <c r="B15" s="708"/>
      <c r="C15" s="723" t="s">
        <v>301</v>
      </c>
      <c r="D15" s="723" t="s">
        <v>302</v>
      </c>
      <c r="E15" s="723" t="s">
        <v>303</v>
      </c>
      <c r="F15" s="721" t="s">
        <v>60</v>
      </c>
      <c r="G15" s="721" t="s">
        <v>61</v>
      </c>
      <c r="H15" s="722"/>
      <c r="I15" s="727" t="s">
        <v>428</v>
      </c>
      <c r="J15" s="726"/>
      <c r="K15" s="726"/>
      <c r="L15" s="726"/>
      <c r="M15" s="727" t="s">
        <v>12</v>
      </c>
      <c r="N15" s="726"/>
      <c r="O15" s="726"/>
      <c r="P15" s="722"/>
    </row>
    <row r="16" spans="1:22" s="5" customFormat="1" ht="12.75" customHeight="1">
      <c r="A16" s="707"/>
      <c r="B16" s="708"/>
      <c r="C16" s="724"/>
      <c r="D16" s="724"/>
      <c r="E16" s="724"/>
      <c r="F16" s="724"/>
      <c r="G16" s="722"/>
      <c r="H16" s="722"/>
      <c r="I16" s="726"/>
      <c r="J16" s="726"/>
      <c r="K16" s="726"/>
      <c r="L16" s="726"/>
      <c r="M16" s="726"/>
      <c r="N16" s="726"/>
      <c r="O16" s="726"/>
      <c r="P16" s="722"/>
    </row>
    <row r="17" spans="1:16" s="5" customFormat="1" ht="12.75" customHeight="1">
      <c r="A17" s="707"/>
      <c r="B17" s="708"/>
      <c r="C17" s="724"/>
      <c r="D17" s="724"/>
      <c r="E17" s="724"/>
      <c r="F17" s="724"/>
      <c r="G17" s="722"/>
      <c r="H17" s="722"/>
      <c r="I17" s="727" t="s">
        <v>63</v>
      </c>
      <c r="J17" s="729" t="s">
        <v>62</v>
      </c>
      <c r="K17" s="727" t="s">
        <v>64</v>
      </c>
      <c r="L17" s="725" t="s">
        <v>65</v>
      </c>
      <c r="M17" s="727" t="s">
        <v>4</v>
      </c>
      <c r="N17" s="725" t="s">
        <v>65</v>
      </c>
      <c r="O17" s="726"/>
      <c r="P17" s="722"/>
    </row>
    <row r="18" spans="1:16" s="5" customFormat="1" ht="12.75" customHeight="1">
      <c r="A18" s="707"/>
      <c r="B18" s="708"/>
      <c r="C18" s="724"/>
      <c r="D18" s="724"/>
      <c r="E18" s="724"/>
      <c r="F18" s="724"/>
      <c r="G18" s="722"/>
      <c r="H18" s="722"/>
      <c r="I18" s="726"/>
      <c r="J18" s="729"/>
      <c r="K18" s="726"/>
      <c r="L18" s="726"/>
      <c r="M18" s="726"/>
      <c r="N18" s="726"/>
      <c r="O18" s="726"/>
      <c r="P18" s="722"/>
    </row>
    <row r="19" spans="1:16" s="5" customFormat="1" ht="12.75" hidden="1" customHeight="1">
      <c r="A19" s="707"/>
      <c r="B19" s="708"/>
      <c r="C19" s="352"/>
      <c r="D19" s="352"/>
      <c r="E19" s="352"/>
      <c r="F19" s="293"/>
      <c r="G19" s="722"/>
      <c r="H19" s="722"/>
      <c r="I19" s="726"/>
      <c r="J19" s="729"/>
      <c r="K19" s="726"/>
      <c r="L19" s="726"/>
      <c r="M19" s="726"/>
      <c r="N19" s="726"/>
      <c r="O19" s="726"/>
      <c r="P19" s="722"/>
    </row>
    <row r="20" spans="1:16" s="5" customFormat="1" ht="16.5" hidden="1" customHeight="1">
      <c r="A20" s="709"/>
      <c r="B20" s="710"/>
      <c r="C20" s="353"/>
      <c r="D20" s="353"/>
      <c r="E20" s="353"/>
      <c r="F20" s="290"/>
      <c r="G20" s="691"/>
      <c r="H20" s="691"/>
      <c r="I20" s="726"/>
      <c r="J20" s="729"/>
      <c r="K20" s="726"/>
      <c r="L20" s="726"/>
      <c r="M20" s="726"/>
      <c r="N20" s="726"/>
      <c r="O20" s="726"/>
      <c r="P20" s="691"/>
    </row>
    <row r="21" spans="1:16" ht="14.25" customHeight="1">
      <c r="A21" s="83" t="s">
        <v>430</v>
      </c>
      <c r="B21" s="84"/>
      <c r="C21" s="345">
        <f>SUM(C23:C24)</f>
        <v>0</v>
      </c>
      <c r="D21" s="345">
        <f t="shared" ref="D21:J22" si="0">SUM(D23:D24)</f>
        <v>0</v>
      </c>
      <c r="E21" s="345">
        <f t="shared" si="0"/>
        <v>0</v>
      </c>
      <c r="F21" s="346">
        <f t="shared" si="0"/>
        <v>0</v>
      </c>
      <c r="G21" s="346">
        <f>SUM(C21:F21)</f>
        <v>0</v>
      </c>
      <c r="H21" s="346">
        <f t="shared" si="0"/>
        <v>0</v>
      </c>
      <c r="I21" s="346">
        <f t="shared" si="0"/>
        <v>0</v>
      </c>
      <c r="J21" s="346">
        <f t="shared" si="0"/>
        <v>0</v>
      </c>
      <c r="K21" s="346">
        <f>SUM(I21:J21)</f>
        <v>0</v>
      </c>
      <c r="L21" s="506">
        <f t="shared" ref="L21:L31" si="1">IF(K21=0,0,K21/H21)*100</f>
        <v>0</v>
      </c>
      <c r="M21" s="346">
        <f>K21-H21</f>
        <v>0</v>
      </c>
      <c r="N21" s="513">
        <f>IF(M21=0,0,M21/H21)*100</f>
        <v>0</v>
      </c>
      <c r="O21" s="530"/>
      <c r="P21" s="510"/>
    </row>
    <row r="22" spans="1:16" ht="14.25" customHeight="1">
      <c r="A22" s="87" t="s">
        <v>44</v>
      </c>
      <c r="B22" s="86"/>
      <c r="C22" s="347">
        <f>SUM(C24:C25)</f>
        <v>0</v>
      </c>
      <c r="D22" s="347">
        <f t="shared" si="0"/>
        <v>0</v>
      </c>
      <c r="E22" s="347">
        <f t="shared" si="0"/>
        <v>0</v>
      </c>
      <c r="F22" s="348">
        <f t="shared" si="0"/>
        <v>0</v>
      </c>
      <c r="G22" s="348">
        <f>SUM(C22:F22)</f>
        <v>0</v>
      </c>
      <c r="H22" s="348">
        <f t="shared" si="0"/>
        <v>0</v>
      </c>
      <c r="I22" s="348">
        <f t="shared" si="0"/>
        <v>0</v>
      </c>
      <c r="J22" s="348">
        <f t="shared" si="0"/>
        <v>0</v>
      </c>
      <c r="K22" s="348">
        <f>SUM(I22:J22)</f>
        <v>0</v>
      </c>
      <c r="L22" s="507">
        <f t="shared" si="1"/>
        <v>0</v>
      </c>
      <c r="M22" s="348">
        <f t="shared" ref="M22:M41" si="2">K22-H22</f>
        <v>0</v>
      </c>
      <c r="N22" s="514">
        <f t="shared" ref="N22:N41" si="3">IF(M22=0,0,M22/H22)*100</f>
        <v>0</v>
      </c>
      <c r="O22" s="531"/>
      <c r="P22" s="511"/>
    </row>
    <row r="23" spans="1:16">
      <c r="A23" s="85"/>
      <c r="B23" s="86" t="s">
        <v>44</v>
      </c>
      <c r="C23" s="347"/>
      <c r="D23" s="347"/>
      <c r="E23" s="347"/>
      <c r="F23" s="348"/>
      <c r="G23" s="348">
        <f t="shared" ref="G23:G41" si="4">SUM(C23:F23)</f>
        <v>0</v>
      </c>
      <c r="H23" s="348"/>
      <c r="I23" s="348"/>
      <c r="J23" s="348"/>
      <c r="K23" s="348">
        <f t="shared" ref="K23:K41" si="5">SUM(I23:J23)</f>
        <v>0</v>
      </c>
      <c r="L23" s="507">
        <f t="shared" si="1"/>
        <v>0</v>
      </c>
      <c r="M23" s="348">
        <f t="shared" si="2"/>
        <v>0</v>
      </c>
      <c r="N23" s="514">
        <f t="shared" si="3"/>
        <v>0</v>
      </c>
      <c r="O23" s="531"/>
      <c r="P23" s="511"/>
    </row>
    <row r="24" spans="1:16">
      <c r="A24" s="85"/>
      <c r="B24" s="86" t="s">
        <v>49</v>
      </c>
      <c r="C24" s="348"/>
      <c r="D24" s="348"/>
      <c r="E24" s="348"/>
      <c r="F24" s="348"/>
      <c r="G24" s="348">
        <f t="shared" si="4"/>
        <v>0</v>
      </c>
      <c r="H24" s="348"/>
      <c r="I24" s="348"/>
      <c r="J24" s="348"/>
      <c r="K24" s="348">
        <f t="shared" si="5"/>
        <v>0</v>
      </c>
      <c r="L24" s="507">
        <f t="shared" si="1"/>
        <v>0</v>
      </c>
      <c r="M24" s="348">
        <f t="shared" si="2"/>
        <v>0</v>
      </c>
      <c r="N24" s="514">
        <f t="shared" si="3"/>
        <v>0</v>
      </c>
      <c r="O24" s="531"/>
      <c r="P24" s="511"/>
    </row>
    <row r="25" spans="1:16" ht="14.25" customHeight="1">
      <c r="A25" s="87" t="s">
        <v>45</v>
      </c>
      <c r="B25" s="86"/>
      <c r="C25" s="348">
        <f>SUM(C26:C27)</f>
        <v>0</v>
      </c>
      <c r="D25" s="348">
        <f t="shared" ref="D25" si="6">SUM(D26:D27)</f>
        <v>0</v>
      </c>
      <c r="E25" s="348">
        <f t="shared" ref="E25" si="7">SUM(E26:E27)</f>
        <v>0</v>
      </c>
      <c r="F25" s="348">
        <f t="shared" ref="F25" si="8">SUM(F26:F27)</f>
        <v>0</v>
      </c>
      <c r="G25" s="348">
        <f t="shared" si="4"/>
        <v>0</v>
      </c>
      <c r="H25" s="348">
        <f t="shared" ref="H25" si="9">SUM(H26:H27)</f>
        <v>0</v>
      </c>
      <c r="I25" s="348">
        <f t="shared" ref="I25" si="10">SUM(I26:I27)</f>
        <v>0</v>
      </c>
      <c r="J25" s="348">
        <f t="shared" ref="J25" si="11">SUM(J26:J27)</f>
        <v>0</v>
      </c>
      <c r="K25" s="348">
        <f t="shared" si="5"/>
        <v>0</v>
      </c>
      <c r="L25" s="507">
        <f t="shared" si="1"/>
        <v>0</v>
      </c>
      <c r="M25" s="348">
        <f t="shared" si="2"/>
        <v>0</v>
      </c>
      <c r="N25" s="514">
        <f t="shared" si="3"/>
        <v>0</v>
      </c>
      <c r="O25" s="531"/>
      <c r="P25" s="511"/>
    </row>
    <row r="26" spans="1:16">
      <c r="A26" s="85"/>
      <c r="B26" s="86" t="s">
        <v>45</v>
      </c>
      <c r="C26" s="348"/>
      <c r="D26" s="348"/>
      <c r="E26" s="348"/>
      <c r="F26" s="348"/>
      <c r="G26" s="348">
        <f t="shared" si="4"/>
        <v>0</v>
      </c>
      <c r="H26" s="348"/>
      <c r="I26" s="348"/>
      <c r="J26" s="348"/>
      <c r="K26" s="348">
        <f t="shared" si="5"/>
        <v>0</v>
      </c>
      <c r="L26" s="507">
        <f t="shared" si="1"/>
        <v>0</v>
      </c>
      <c r="M26" s="348">
        <f t="shared" si="2"/>
        <v>0</v>
      </c>
      <c r="N26" s="514">
        <f t="shared" si="3"/>
        <v>0</v>
      </c>
      <c r="O26" s="531"/>
      <c r="P26" s="511"/>
    </row>
    <row r="27" spans="1:16">
      <c r="A27" s="85"/>
      <c r="B27" s="86" t="s">
        <v>49</v>
      </c>
      <c r="C27" s="348"/>
      <c r="D27" s="348"/>
      <c r="E27" s="348"/>
      <c r="F27" s="348"/>
      <c r="G27" s="348">
        <f t="shared" si="4"/>
        <v>0</v>
      </c>
      <c r="H27" s="348"/>
      <c r="I27" s="348"/>
      <c r="J27" s="348"/>
      <c r="K27" s="348">
        <f t="shared" si="5"/>
        <v>0</v>
      </c>
      <c r="L27" s="507">
        <f t="shared" si="1"/>
        <v>0</v>
      </c>
      <c r="M27" s="348">
        <f t="shared" si="2"/>
        <v>0</v>
      </c>
      <c r="N27" s="514">
        <f t="shared" si="3"/>
        <v>0</v>
      </c>
      <c r="O27" s="531"/>
      <c r="P27" s="511"/>
    </row>
    <row r="28" spans="1:16" ht="14.25" customHeight="1">
      <c r="A28" s="87" t="s">
        <v>46</v>
      </c>
      <c r="B28" s="86"/>
      <c r="C28" s="348">
        <f>SUM(C29:C30)</f>
        <v>0</v>
      </c>
      <c r="D28" s="348">
        <f t="shared" ref="D28" si="12">SUM(D29:D30)</f>
        <v>0</v>
      </c>
      <c r="E28" s="348">
        <f t="shared" ref="E28" si="13">SUM(E29:E30)</f>
        <v>0</v>
      </c>
      <c r="F28" s="348">
        <f t="shared" ref="F28" si="14">SUM(F29:F30)</f>
        <v>0</v>
      </c>
      <c r="G28" s="348">
        <f t="shared" si="4"/>
        <v>0</v>
      </c>
      <c r="H28" s="348">
        <f t="shared" ref="H28" si="15">SUM(H29:H30)</f>
        <v>0</v>
      </c>
      <c r="I28" s="348">
        <f t="shared" ref="I28" si="16">SUM(I29:I30)</f>
        <v>0</v>
      </c>
      <c r="J28" s="348">
        <f t="shared" ref="J28" si="17">SUM(J29:J30)</f>
        <v>0</v>
      </c>
      <c r="K28" s="348">
        <f t="shared" si="5"/>
        <v>0</v>
      </c>
      <c r="L28" s="507">
        <f t="shared" si="1"/>
        <v>0</v>
      </c>
      <c r="M28" s="348">
        <f t="shared" si="2"/>
        <v>0</v>
      </c>
      <c r="N28" s="514">
        <f t="shared" si="3"/>
        <v>0</v>
      </c>
      <c r="O28" s="531"/>
      <c r="P28" s="511"/>
    </row>
    <row r="29" spans="1:16">
      <c r="A29" s="85"/>
      <c r="B29" s="86" t="s">
        <v>46</v>
      </c>
      <c r="C29" s="348"/>
      <c r="D29" s="348"/>
      <c r="E29" s="348"/>
      <c r="F29" s="348"/>
      <c r="G29" s="348">
        <f t="shared" si="4"/>
        <v>0</v>
      </c>
      <c r="H29" s="348"/>
      <c r="I29" s="348"/>
      <c r="J29" s="348"/>
      <c r="K29" s="348">
        <f t="shared" si="5"/>
        <v>0</v>
      </c>
      <c r="L29" s="507">
        <f t="shared" si="1"/>
        <v>0</v>
      </c>
      <c r="M29" s="348">
        <f t="shared" si="2"/>
        <v>0</v>
      </c>
      <c r="N29" s="514">
        <f t="shared" si="3"/>
        <v>0</v>
      </c>
      <c r="O29" s="531"/>
      <c r="P29" s="511"/>
    </row>
    <row r="30" spans="1:16">
      <c r="A30" s="85"/>
      <c r="B30" s="86" t="s">
        <v>49</v>
      </c>
      <c r="C30" s="348"/>
      <c r="D30" s="348"/>
      <c r="E30" s="348"/>
      <c r="F30" s="348"/>
      <c r="G30" s="348">
        <f t="shared" si="4"/>
        <v>0</v>
      </c>
      <c r="H30" s="348"/>
      <c r="I30" s="348"/>
      <c r="J30" s="348"/>
      <c r="K30" s="348">
        <f t="shared" si="5"/>
        <v>0</v>
      </c>
      <c r="L30" s="507">
        <f t="shared" si="1"/>
        <v>0</v>
      </c>
      <c r="M30" s="348">
        <f t="shared" si="2"/>
        <v>0</v>
      </c>
      <c r="N30" s="514">
        <f t="shared" si="3"/>
        <v>0</v>
      </c>
      <c r="O30" s="531"/>
      <c r="P30" s="511"/>
    </row>
    <row r="31" spans="1:16" ht="14.25" customHeight="1">
      <c r="A31" s="87" t="s">
        <v>47</v>
      </c>
      <c r="B31" s="86"/>
      <c r="C31" s="348">
        <f>SUM(C32:C33)</f>
        <v>0</v>
      </c>
      <c r="D31" s="348">
        <f t="shared" ref="D31" si="18">SUM(D32:D33)</f>
        <v>100000</v>
      </c>
      <c r="E31" s="348">
        <f t="shared" ref="E31" si="19">SUM(E32:E33)</f>
        <v>0</v>
      </c>
      <c r="F31" s="348">
        <f t="shared" ref="F31" si="20">SUM(F32:F33)</f>
        <v>0</v>
      </c>
      <c r="G31" s="348">
        <f t="shared" si="4"/>
        <v>100000</v>
      </c>
      <c r="H31" s="348">
        <f t="shared" ref="H31" si="21">SUM(H32:H33)</f>
        <v>50000</v>
      </c>
      <c r="I31" s="348">
        <f t="shared" ref="I31" si="22">SUM(I32:I33)</f>
        <v>0</v>
      </c>
      <c r="J31" s="348">
        <f t="shared" ref="J31" si="23">SUM(J32:J33)</f>
        <v>0</v>
      </c>
      <c r="K31" s="348">
        <f t="shared" si="5"/>
        <v>0</v>
      </c>
      <c r="L31" s="507">
        <f t="shared" si="1"/>
        <v>0</v>
      </c>
      <c r="M31" s="348">
        <f t="shared" si="2"/>
        <v>-50000</v>
      </c>
      <c r="N31" s="514">
        <f t="shared" si="3"/>
        <v>-100</v>
      </c>
      <c r="O31" s="531"/>
      <c r="P31" s="511"/>
    </row>
    <row r="32" spans="1:16" ht="28.5">
      <c r="A32" s="85"/>
      <c r="B32" s="86" t="s">
        <v>47</v>
      </c>
      <c r="C32" s="348"/>
      <c r="D32" s="349">
        <v>100000</v>
      </c>
      <c r="E32" s="348"/>
      <c r="F32" s="349"/>
      <c r="G32" s="349">
        <f t="shared" si="4"/>
        <v>100000</v>
      </c>
      <c r="H32" s="349">
        <v>50000</v>
      </c>
      <c r="I32" s="349"/>
      <c r="J32" s="348"/>
      <c r="K32" s="349">
        <f t="shared" si="5"/>
        <v>0</v>
      </c>
      <c r="L32" s="508">
        <f>IF(K32=0,0,K32/H32)*100</f>
        <v>0</v>
      </c>
      <c r="M32" s="349">
        <f t="shared" si="2"/>
        <v>-50000</v>
      </c>
      <c r="N32" s="515">
        <f t="shared" si="3"/>
        <v>-100</v>
      </c>
      <c r="O32" s="532" t="s">
        <v>478</v>
      </c>
      <c r="P32" s="511" t="s">
        <v>452</v>
      </c>
    </row>
    <row r="33" spans="1:16" ht="12.75" customHeight="1">
      <c r="A33" s="85"/>
      <c r="B33" s="86" t="s">
        <v>49</v>
      </c>
      <c r="C33" s="348"/>
      <c r="D33" s="349"/>
      <c r="E33" s="348"/>
      <c r="F33" s="349"/>
      <c r="G33" s="349">
        <f t="shared" si="4"/>
        <v>0</v>
      </c>
      <c r="H33" s="349"/>
      <c r="I33" s="349"/>
      <c r="J33" s="348"/>
      <c r="K33" s="349">
        <f t="shared" si="5"/>
        <v>0</v>
      </c>
      <c r="L33" s="508">
        <f t="shared" ref="L33:L41" si="24">IF(K33=0,0,K33/H33)*100</f>
        <v>0</v>
      </c>
      <c r="M33" s="349">
        <f t="shared" si="2"/>
        <v>0</v>
      </c>
      <c r="N33" s="515">
        <f t="shared" si="3"/>
        <v>0</v>
      </c>
      <c r="O33" s="532"/>
      <c r="P33" s="511"/>
    </row>
    <row r="34" spans="1:16" ht="14.25" customHeight="1">
      <c r="A34" s="85" t="s">
        <v>48</v>
      </c>
      <c r="B34" s="86"/>
      <c r="C34" s="348">
        <f>SUM(C35:C36)</f>
        <v>0</v>
      </c>
      <c r="D34" s="348">
        <f t="shared" ref="D34" si="25">SUM(D35:D36)</f>
        <v>0</v>
      </c>
      <c r="E34" s="348">
        <f t="shared" ref="E34" si="26">SUM(E35:E36)</f>
        <v>0</v>
      </c>
      <c r="F34" s="348">
        <f t="shared" ref="F34" si="27">SUM(F35:F36)</f>
        <v>0</v>
      </c>
      <c r="G34" s="348">
        <f t="shared" si="4"/>
        <v>0</v>
      </c>
      <c r="H34" s="348">
        <f t="shared" ref="H34" si="28">SUM(H35:H36)</f>
        <v>0</v>
      </c>
      <c r="I34" s="348">
        <f t="shared" ref="I34" si="29">SUM(I35:I36)</f>
        <v>0</v>
      </c>
      <c r="J34" s="348">
        <f t="shared" ref="J34" si="30">SUM(J35:J36)</f>
        <v>0</v>
      </c>
      <c r="K34" s="348">
        <f t="shared" si="5"/>
        <v>0</v>
      </c>
      <c r="L34" s="507">
        <f t="shared" si="24"/>
        <v>0</v>
      </c>
      <c r="M34" s="348">
        <f t="shared" si="2"/>
        <v>0</v>
      </c>
      <c r="N34" s="514">
        <f t="shared" si="3"/>
        <v>0</v>
      </c>
      <c r="O34" s="531"/>
      <c r="P34" s="511"/>
    </row>
    <row r="35" spans="1:16">
      <c r="A35" s="87"/>
      <c r="B35" s="86" t="s">
        <v>48</v>
      </c>
      <c r="C35" s="348"/>
      <c r="D35" s="348"/>
      <c r="E35" s="348"/>
      <c r="F35" s="348"/>
      <c r="G35" s="348">
        <f t="shared" si="4"/>
        <v>0</v>
      </c>
      <c r="H35" s="348"/>
      <c r="I35" s="348"/>
      <c r="J35" s="348"/>
      <c r="K35" s="348">
        <f t="shared" si="5"/>
        <v>0</v>
      </c>
      <c r="L35" s="507">
        <f t="shared" si="24"/>
        <v>0</v>
      </c>
      <c r="M35" s="348">
        <f t="shared" si="2"/>
        <v>0</v>
      </c>
      <c r="N35" s="514">
        <f t="shared" si="3"/>
        <v>0</v>
      </c>
      <c r="O35" s="533"/>
      <c r="P35" s="511"/>
    </row>
    <row r="36" spans="1:16">
      <c r="A36" s="85"/>
      <c r="B36" s="86" t="s">
        <v>49</v>
      </c>
      <c r="C36" s="348"/>
      <c r="D36" s="348"/>
      <c r="E36" s="348"/>
      <c r="F36" s="348"/>
      <c r="G36" s="348">
        <f t="shared" si="4"/>
        <v>0</v>
      </c>
      <c r="H36" s="348"/>
      <c r="I36" s="348"/>
      <c r="J36" s="348"/>
      <c r="K36" s="348">
        <f t="shared" si="5"/>
        <v>0</v>
      </c>
      <c r="L36" s="507">
        <f t="shared" si="24"/>
        <v>0</v>
      </c>
      <c r="M36" s="348">
        <f t="shared" si="2"/>
        <v>0</v>
      </c>
      <c r="N36" s="514">
        <f t="shared" si="3"/>
        <v>0</v>
      </c>
      <c r="O36" s="531"/>
      <c r="P36" s="511"/>
    </row>
    <row r="37" spans="1:16" ht="14.25" customHeight="1">
      <c r="A37" s="85" t="s">
        <v>210</v>
      </c>
      <c r="B37" s="86"/>
      <c r="C37" s="348">
        <f>SUM(C38:C39)</f>
        <v>0</v>
      </c>
      <c r="D37" s="348">
        <f t="shared" ref="D37" si="31">SUM(D38:D39)</f>
        <v>100000</v>
      </c>
      <c r="E37" s="348">
        <f t="shared" ref="E37" si="32">SUM(E38:E39)</f>
        <v>0</v>
      </c>
      <c r="F37" s="348">
        <f t="shared" ref="F37" si="33">SUM(F38:F39)</f>
        <v>0</v>
      </c>
      <c r="G37" s="348">
        <f t="shared" si="4"/>
        <v>100000</v>
      </c>
      <c r="H37" s="348">
        <f t="shared" ref="H37" si="34">SUM(H38:H39)</f>
        <v>0</v>
      </c>
      <c r="I37" s="348">
        <f t="shared" ref="I37" si="35">SUM(I38:I39)</f>
        <v>0</v>
      </c>
      <c r="J37" s="348">
        <f t="shared" ref="J37" si="36">SUM(J38:J39)</f>
        <v>0</v>
      </c>
      <c r="K37" s="348">
        <f t="shared" si="5"/>
        <v>0</v>
      </c>
      <c r="L37" s="507">
        <f t="shared" si="24"/>
        <v>0</v>
      </c>
      <c r="M37" s="348">
        <f t="shared" si="2"/>
        <v>0</v>
      </c>
      <c r="N37" s="514">
        <f t="shared" si="3"/>
        <v>0</v>
      </c>
      <c r="O37" s="531"/>
      <c r="P37" s="511"/>
    </row>
    <row r="38" spans="1:16" ht="14.25" customHeight="1">
      <c r="A38" s="87"/>
      <c r="B38" s="86" t="s">
        <v>210</v>
      </c>
      <c r="C38" s="348"/>
      <c r="D38" s="349">
        <v>100000</v>
      </c>
      <c r="E38" s="348"/>
      <c r="F38" s="349"/>
      <c r="G38" s="349">
        <f t="shared" si="4"/>
        <v>100000</v>
      </c>
      <c r="H38" s="349"/>
      <c r="I38" s="349"/>
      <c r="J38" s="348"/>
      <c r="K38" s="349">
        <f t="shared" si="5"/>
        <v>0</v>
      </c>
      <c r="L38" s="508">
        <f t="shared" si="24"/>
        <v>0</v>
      </c>
      <c r="M38" s="348">
        <f t="shared" si="2"/>
        <v>0</v>
      </c>
      <c r="N38" s="514">
        <f t="shared" si="3"/>
        <v>0</v>
      </c>
      <c r="O38" s="531"/>
      <c r="P38" s="511"/>
    </row>
    <row r="39" spans="1:16">
      <c r="A39" s="85"/>
      <c r="B39" s="86" t="s">
        <v>49</v>
      </c>
      <c r="C39" s="348"/>
      <c r="D39" s="349"/>
      <c r="E39" s="348"/>
      <c r="F39" s="349"/>
      <c r="G39" s="349">
        <f t="shared" si="4"/>
        <v>0</v>
      </c>
      <c r="H39" s="349"/>
      <c r="I39" s="349"/>
      <c r="J39" s="348"/>
      <c r="K39" s="349">
        <f t="shared" si="5"/>
        <v>0</v>
      </c>
      <c r="L39" s="508">
        <f t="shared" si="24"/>
        <v>0</v>
      </c>
      <c r="M39" s="348">
        <f t="shared" si="2"/>
        <v>0</v>
      </c>
      <c r="N39" s="514">
        <f t="shared" si="3"/>
        <v>0</v>
      </c>
      <c r="O39" s="531"/>
      <c r="P39" s="511"/>
    </row>
    <row r="40" spans="1:16" ht="9.75" customHeight="1">
      <c r="A40" s="85"/>
      <c r="B40" s="86"/>
      <c r="C40" s="348"/>
      <c r="D40" s="348"/>
      <c r="E40" s="348"/>
      <c r="F40" s="348"/>
      <c r="G40" s="348">
        <f t="shared" si="4"/>
        <v>0</v>
      </c>
      <c r="H40" s="348"/>
      <c r="I40" s="348"/>
      <c r="J40" s="348"/>
      <c r="K40" s="348">
        <f t="shared" si="5"/>
        <v>0</v>
      </c>
      <c r="L40" s="507">
        <f t="shared" si="24"/>
        <v>0</v>
      </c>
      <c r="M40" s="348">
        <f t="shared" si="2"/>
        <v>0</v>
      </c>
      <c r="N40" s="514">
        <f t="shared" si="3"/>
        <v>0</v>
      </c>
      <c r="O40" s="531"/>
      <c r="P40" s="511"/>
    </row>
    <row r="41" spans="1:16" ht="14.25" customHeight="1">
      <c r="A41" s="91" t="s">
        <v>169</v>
      </c>
      <c r="B41" s="88"/>
      <c r="C41" s="350">
        <f>SUM(C21:C40)/2</f>
        <v>0</v>
      </c>
      <c r="D41" s="350">
        <f t="shared" ref="D41:J41" si="37">SUM(D21:D40)/2</f>
        <v>200000</v>
      </c>
      <c r="E41" s="350">
        <f t="shared" si="37"/>
        <v>0</v>
      </c>
      <c r="F41" s="350">
        <f t="shared" si="37"/>
        <v>0</v>
      </c>
      <c r="G41" s="350">
        <f t="shared" si="4"/>
        <v>200000</v>
      </c>
      <c r="H41" s="350">
        <f t="shared" si="37"/>
        <v>50000</v>
      </c>
      <c r="I41" s="350">
        <f t="shared" si="37"/>
        <v>0</v>
      </c>
      <c r="J41" s="350">
        <f t="shared" si="37"/>
        <v>0</v>
      </c>
      <c r="K41" s="351">
        <f t="shared" si="5"/>
        <v>0</v>
      </c>
      <c r="L41" s="509">
        <f t="shared" si="24"/>
        <v>0</v>
      </c>
      <c r="M41" s="350">
        <f t="shared" si="2"/>
        <v>-50000</v>
      </c>
      <c r="N41" s="516">
        <f t="shared" si="3"/>
        <v>-100</v>
      </c>
      <c r="O41" s="534"/>
      <c r="P41" s="512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J11" sqref="J11"/>
      <selection pane="bottomLeft" activeCell="J11" sqref="J11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31"/>
      <c r="U1" s="731"/>
      <c r="V1" s="731"/>
      <c r="W1" s="731"/>
    </row>
    <row r="2" spans="1:24" ht="24.75" customHeight="1">
      <c r="A2" s="639" t="str">
        <f>封面!$A$4</f>
        <v>彰化縣地方教育發展基金－彰化縣彰化市民生國民小學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7"/>
      <c r="W2" s="597"/>
    </row>
    <row r="3" spans="1:24" ht="20.25" customHeight="1">
      <c r="A3" s="682" t="s">
        <v>66</v>
      </c>
      <c r="B3" s="682"/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682"/>
      <c r="O3" s="682"/>
      <c r="P3" s="682"/>
      <c r="Q3" s="682"/>
      <c r="R3" s="682"/>
      <c r="S3" s="682"/>
      <c r="T3" s="682"/>
      <c r="U3" s="682"/>
      <c r="V3" s="682"/>
      <c r="W3" s="682"/>
    </row>
    <row r="4" spans="1:24" ht="20.25" customHeight="1">
      <c r="A4" s="637" t="str">
        <f>封面!$E$10&amp;封面!$H$10&amp;封面!$I$10&amp;封面!$J$10&amp;封面!$K$10&amp;封面!L10</f>
        <v>中華民國114年4月份</v>
      </c>
      <c r="B4" s="637"/>
      <c r="C4" s="637"/>
      <c r="D4" s="637"/>
      <c r="E4" s="637"/>
      <c r="F4" s="637"/>
      <c r="G4" s="637"/>
      <c r="H4" s="637"/>
      <c r="I4" s="637"/>
      <c r="J4" s="637"/>
      <c r="K4" s="637"/>
      <c r="L4" s="637"/>
      <c r="M4" s="637"/>
      <c r="N4" s="637"/>
      <c r="O4" s="637"/>
      <c r="P4" s="637"/>
      <c r="Q4" s="637"/>
      <c r="R4" s="637"/>
      <c r="S4" s="637"/>
      <c r="T4" s="637"/>
      <c r="U4" s="637"/>
      <c r="V4" s="637"/>
      <c r="W4" s="637"/>
    </row>
    <row r="5" spans="1:24" ht="16.5">
      <c r="S5" s="733" t="s">
        <v>1</v>
      </c>
      <c r="T5" s="597"/>
      <c r="U5" s="597"/>
      <c r="V5" s="597"/>
      <c r="W5" s="597"/>
    </row>
    <row r="6" spans="1:24" ht="14.25" hidden="1"/>
    <row r="7" spans="1:24" ht="8.1" customHeight="1">
      <c r="A7" s="687" t="s">
        <v>6</v>
      </c>
      <c r="B7" s="732"/>
      <c r="C7" s="732"/>
      <c r="D7" s="732"/>
      <c r="E7" s="732"/>
      <c r="F7" s="732"/>
      <c r="G7" s="732"/>
      <c r="H7" s="732"/>
      <c r="I7" s="732"/>
      <c r="J7" s="732"/>
      <c r="K7" s="732"/>
      <c r="L7" s="732"/>
      <c r="M7" s="732"/>
      <c r="N7" s="687" t="s">
        <v>68</v>
      </c>
      <c r="O7" s="730"/>
      <c r="P7" s="687" t="s">
        <v>69</v>
      </c>
      <c r="Q7" s="730"/>
      <c r="R7" s="687" t="s">
        <v>67</v>
      </c>
      <c r="S7" s="730"/>
      <c r="T7" s="730"/>
      <c r="U7" s="730"/>
      <c r="V7" s="730"/>
      <c r="W7" s="730"/>
      <c r="X7" s="6"/>
    </row>
    <row r="8" spans="1:24" ht="8.1" customHeight="1">
      <c r="A8" s="732"/>
      <c r="B8" s="732"/>
      <c r="C8" s="732"/>
      <c r="D8" s="732"/>
      <c r="E8" s="732"/>
      <c r="F8" s="732"/>
      <c r="G8" s="732"/>
      <c r="H8" s="732"/>
      <c r="I8" s="732"/>
      <c r="J8" s="732"/>
      <c r="K8" s="732"/>
      <c r="L8" s="732"/>
      <c r="M8" s="732"/>
      <c r="N8" s="730"/>
      <c r="O8" s="730"/>
      <c r="P8" s="730"/>
      <c r="Q8" s="730"/>
      <c r="R8" s="730"/>
      <c r="S8" s="730"/>
      <c r="T8" s="730"/>
      <c r="U8" s="730"/>
      <c r="V8" s="730"/>
      <c r="W8" s="730"/>
      <c r="X8" s="6"/>
    </row>
    <row r="9" spans="1:24" ht="8.1" customHeight="1">
      <c r="A9" s="732"/>
      <c r="B9" s="732"/>
      <c r="C9" s="732"/>
      <c r="D9" s="732"/>
      <c r="E9" s="732"/>
      <c r="F9" s="732"/>
      <c r="G9" s="732"/>
      <c r="H9" s="732"/>
      <c r="I9" s="732"/>
      <c r="J9" s="732"/>
      <c r="K9" s="732"/>
      <c r="L9" s="732"/>
      <c r="M9" s="732"/>
      <c r="N9" s="730"/>
      <c r="O9" s="730"/>
      <c r="P9" s="730"/>
      <c r="Q9" s="730"/>
      <c r="R9" s="687" t="s">
        <v>4</v>
      </c>
      <c r="S9" s="730"/>
      <c r="T9" s="730"/>
      <c r="U9" s="730"/>
      <c r="V9" s="67"/>
      <c r="W9" s="734" t="s">
        <v>150</v>
      </c>
      <c r="X9" s="6"/>
    </row>
    <row r="10" spans="1:24" ht="8.1" customHeight="1">
      <c r="A10" s="732"/>
      <c r="B10" s="732"/>
      <c r="C10" s="732"/>
      <c r="D10" s="732"/>
      <c r="E10" s="732"/>
      <c r="F10" s="732"/>
      <c r="G10" s="732"/>
      <c r="H10" s="732"/>
      <c r="I10" s="732"/>
      <c r="J10" s="732"/>
      <c r="K10" s="732"/>
      <c r="L10" s="732"/>
      <c r="M10" s="732"/>
      <c r="N10" s="730"/>
      <c r="O10" s="730"/>
      <c r="P10" s="730"/>
      <c r="Q10" s="730"/>
      <c r="R10" s="730"/>
      <c r="S10" s="730"/>
      <c r="T10" s="730"/>
      <c r="U10" s="730"/>
      <c r="V10" s="68"/>
      <c r="W10" s="691"/>
      <c r="X10" s="6"/>
    </row>
    <row r="11" spans="1:24" hidden="1">
      <c r="A11" s="732"/>
      <c r="B11" s="732"/>
      <c r="C11" s="732"/>
      <c r="D11" s="732"/>
      <c r="E11" s="732"/>
      <c r="F11" s="732"/>
      <c r="G11" s="732"/>
      <c r="H11" s="732"/>
      <c r="I11" s="732"/>
      <c r="J11" s="732"/>
      <c r="K11" s="732"/>
      <c r="L11" s="732"/>
      <c r="M11" s="732"/>
      <c r="N11" s="730"/>
      <c r="O11" s="730"/>
      <c r="P11" s="730"/>
      <c r="Q11" s="730"/>
      <c r="R11" s="730"/>
      <c r="S11" s="730"/>
      <c r="T11" s="730"/>
      <c r="U11" s="730"/>
      <c r="V11" s="68"/>
      <c r="W11" s="68"/>
      <c r="X11" s="6"/>
    </row>
    <row r="12" spans="1:24" ht="15.75" customHeight="1">
      <c r="A12" s="218"/>
      <c r="B12" s="74" t="s">
        <v>487</v>
      </c>
      <c r="C12" s="74"/>
      <c r="D12" s="74"/>
      <c r="E12" s="74"/>
      <c r="F12" s="74" t="s">
        <v>568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54898259</v>
      </c>
      <c r="R12" s="226"/>
      <c r="S12" s="225">
        <v>-77915741</v>
      </c>
      <c r="T12" s="225"/>
      <c r="U12" s="225"/>
      <c r="V12" s="226"/>
      <c r="W12" s="225" t="s">
        <v>569</v>
      </c>
      <c r="X12" s="6"/>
    </row>
    <row r="13" spans="1:24" ht="15.75" customHeight="1">
      <c r="A13" s="220"/>
      <c r="B13" s="75"/>
      <c r="C13" s="319" t="s">
        <v>489</v>
      </c>
      <c r="D13" s="319"/>
      <c r="E13" s="319"/>
      <c r="F13" s="75"/>
      <c r="G13" s="75" t="s">
        <v>570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36321453</v>
      </c>
      <c r="R13" s="228"/>
      <c r="S13" s="229">
        <v>36321453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9"/>
      <c r="D14" s="319" t="s">
        <v>571</v>
      </c>
      <c r="E14" s="319"/>
      <c r="F14" s="75"/>
      <c r="G14" s="75"/>
      <c r="H14" s="75"/>
      <c r="I14" s="75" t="s">
        <v>572</v>
      </c>
      <c r="J14" s="75"/>
      <c r="K14" s="75"/>
      <c r="L14" s="75"/>
      <c r="M14" s="221"/>
      <c r="N14" s="227"/>
      <c r="O14" s="228"/>
      <c r="P14" s="228"/>
      <c r="Q14" s="229">
        <v>35953753</v>
      </c>
      <c r="R14" s="228"/>
      <c r="S14" s="229">
        <v>35953753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9"/>
      <c r="D15" s="319" t="s">
        <v>573</v>
      </c>
      <c r="E15" s="319"/>
      <c r="F15" s="75"/>
      <c r="G15" s="75"/>
      <c r="H15" s="75"/>
      <c r="I15" s="75" t="s">
        <v>574</v>
      </c>
      <c r="J15" s="75"/>
      <c r="K15" s="75"/>
      <c r="L15" s="75"/>
      <c r="M15" s="221"/>
      <c r="N15" s="227"/>
      <c r="O15" s="228"/>
      <c r="P15" s="228"/>
      <c r="Q15" s="229">
        <v>367700</v>
      </c>
      <c r="R15" s="228"/>
      <c r="S15" s="229">
        <v>367700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9" t="s">
        <v>505</v>
      </c>
      <c r="D16" s="319"/>
      <c r="E16" s="319"/>
      <c r="F16" s="75"/>
      <c r="G16" s="75" t="s">
        <v>575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682752</v>
      </c>
      <c r="R16" s="228"/>
      <c r="S16" s="229">
        <v>682752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9"/>
      <c r="D17" s="319" t="s">
        <v>576</v>
      </c>
      <c r="E17" s="319"/>
      <c r="F17" s="75"/>
      <c r="G17" s="75"/>
      <c r="H17" s="75"/>
      <c r="I17" s="75" t="s">
        <v>577</v>
      </c>
      <c r="J17" s="75"/>
      <c r="K17" s="75"/>
      <c r="L17" s="75"/>
      <c r="M17" s="221"/>
      <c r="N17" s="227"/>
      <c r="O17" s="228"/>
      <c r="P17" s="228"/>
      <c r="Q17" s="229">
        <v>682752</v>
      </c>
      <c r="R17" s="228"/>
      <c r="S17" s="229">
        <v>682752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9" t="s">
        <v>578</v>
      </c>
      <c r="D18" s="319"/>
      <c r="E18" s="319"/>
      <c r="F18" s="75"/>
      <c r="G18" s="75" t="s">
        <v>579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11326511</v>
      </c>
      <c r="R18" s="228"/>
      <c r="S18" s="229">
        <v>11326511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9"/>
      <c r="D19" s="319" t="s">
        <v>580</v>
      </c>
      <c r="E19" s="319"/>
      <c r="F19" s="75"/>
      <c r="G19" s="75"/>
      <c r="H19" s="75"/>
      <c r="I19" s="75" t="s">
        <v>581</v>
      </c>
      <c r="J19" s="75"/>
      <c r="K19" s="75"/>
      <c r="L19" s="75"/>
      <c r="M19" s="221"/>
      <c r="N19" s="227"/>
      <c r="O19" s="228"/>
      <c r="P19" s="228"/>
      <c r="Q19" s="229">
        <v>808955</v>
      </c>
      <c r="R19" s="228"/>
      <c r="S19" s="229">
        <v>808955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9"/>
      <c r="D20" s="319" t="s">
        <v>582</v>
      </c>
      <c r="E20" s="319"/>
      <c r="F20" s="75"/>
      <c r="G20" s="75"/>
      <c r="H20" s="75"/>
      <c r="I20" s="75" t="s">
        <v>583</v>
      </c>
      <c r="J20" s="75"/>
      <c r="K20" s="75"/>
      <c r="L20" s="75"/>
      <c r="M20" s="221"/>
      <c r="N20" s="227"/>
      <c r="O20" s="228"/>
      <c r="P20" s="228"/>
      <c r="Q20" s="229">
        <v>10517556</v>
      </c>
      <c r="R20" s="228"/>
      <c r="S20" s="229">
        <v>10517556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9" t="s">
        <v>535</v>
      </c>
      <c r="D21" s="319"/>
      <c r="E21" s="319"/>
      <c r="F21" s="75"/>
      <c r="G21" s="75" t="s">
        <v>584</v>
      </c>
      <c r="H21" s="75"/>
      <c r="I21" s="75"/>
      <c r="J21" s="75"/>
      <c r="K21" s="75"/>
      <c r="L21" s="75"/>
      <c r="M21" s="221"/>
      <c r="N21" s="227"/>
      <c r="O21" s="228"/>
      <c r="P21" s="228"/>
      <c r="Q21" s="229">
        <v>3796762</v>
      </c>
      <c r="R21" s="228"/>
      <c r="S21" s="229">
        <v>3796762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9"/>
      <c r="D22" s="319" t="s">
        <v>585</v>
      </c>
      <c r="E22" s="319"/>
      <c r="F22" s="75"/>
      <c r="G22" s="75"/>
      <c r="H22" s="75"/>
      <c r="I22" s="75" t="s">
        <v>586</v>
      </c>
      <c r="J22" s="75"/>
      <c r="K22" s="75"/>
      <c r="L22" s="75"/>
      <c r="M22" s="221"/>
      <c r="N22" s="227"/>
      <c r="O22" s="228"/>
      <c r="P22" s="228"/>
      <c r="Q22" s="229">
        <v>3796762</v>
      </c>
      <c r="R22" s="228"/>
      <c r="S22" s="229">
        <v>3796762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587</v>
      </c>
      <c r="D23" s="75"/>
      <c r="E23" s="75"/>
      <c r="F23" s="75"/>
      <c r="G23" s="75" t="s">
        <v>588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2770781</v>
      </c>
      <c r="R23" s="228"/>
      <c r="S23" s="229">
        <v>2770781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589</v>
      </c>
      <c r="E24" s="75"/>
      <c r="F24" s="75"/>
      <c r="G24" s="75"/>
      <c r="H24" s="75"/>
      <c r="I24" s="75" t="s">
        <v>590</v>
      </c>
      <c r="J24" s="75"/>
      <c r="K24" s="75"/>
      <c r="L24" s="75"/>
      <c r="M24" s="221"/>
      <c r="N24" s="227"/>
      <c r="O24" s="228"/>
      <c r="P24" s="228"/>
      <c r="Q24" s="229">
        <v>2647581</v>
      </c>
      <c r="R24" s="228"/>
      <c r="S24" s="229">
        <v>2647581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/>
      <c r="D25" s="75" t="s">
        <v>591</v>
      </c>
      <c r="E25" s="75"/>
      <c r="F25" s="75"/>
      <c r="G25" s="75"/>
      <c r="H25" s="75"/>
      <c r="I25" s="75" t="s">
        <v>592</v>
      </c>
      <c r="J25" s="75"/>
      <c r="K25" s="75"/>
      <c r="L25" s="75"/>
      <c r="M25" s="221"/>
      <c r="N25" s="227"/>
      <c r="O25" s="228"/>
      <c r="P25" s="228"/>
      <c r="Q25" s="229">
        <v>123200</v>
      </c>
      <c r="R25" s="228"/>
      <c r="S25" s="229">
        <v>123200</v>
      </c>
      <c r="T25" s="229"/>
      <c r="U25" s="229"/>
      <c r="V25" s="228"/>
      <c r="W25" s="228"/>
      <c r="X25" s="6"/>
    </row>
    <row r="26" spans="1:24" ht="15.75" customHeight="1">
      <c r="A26" s="220"/>
      <c r="B26" s="75" t="s">
        <v>540</v>
      </c>
      <c r="C26" s="75"/>
      <c r="D26" s="75"/>
      <c r="E26" s="75"/>
      <c r="F26" s="75" t="s">
        <v>593</v>
      </c>
      <c r="G26" s="75"/>
      <c r="H26" s="75"/>
      <c r="I26" s="75"/>
      <c r="J26" s="75"/>
      <c r="K26" s="75"/>
      <c r="L26" s="75"/>
      <c r="M26" s="221"/>
      <c r="N26" s="227"/>
      <c r="O26" s="228">
        <v>3546000</v>
      </c>
      <c r="P26" s="228"/>
      <c r="Q26" s="229">
        <v>999142</v>
      </c>
      <c r="R26" s="228"/>
      <c r="S26" s="229">
        <v>-2546858</v>
      </c>
      <c r="T26" s="229"/>
      <c r="U26" s="229"/>
      <c r="V26" s="228"/>
      <c r="W26" s="228" t="s">
        <v>594</v>
      </c>
      <c r="X26" s="6"/>
    </row>
    <row r="27" spans="1:24" ht="15.75" customHeight="1">
      <c r="A27" s="220"/>
      <c r="B27" s="75"/>
      <c r="C27" s="75" t="s">
        <v>542</v>
      </c>
      <c r="D27" s="75"/>
      <c r="E27" s="75"/>
      <c r="F27" s="75"/>
      <c r="G27" s="75" t="s">
        <v>595</v>
      </c>
      <c r="H27" s="75"/>
      <c r="I27" s="75"/>
      <c r="J27" s="75"/>
      <c r="K27" s="75"/>
      <c r="L27" s="75"/>
      <c r="M27" s="221"/>
      <c r="N27" s="227"/>
      <c r="O27" s="228"/>
      <c r="P27" s="228"/>
      <c r="Q27" s="229">
        <v>239649</v>
      </c>
      <c r="R27" s="228"/>
      <c r="S27" s="229">
        <v>239649</v>
      </c>
      <c r="T27" s="229"/>
      <c r="U27" s="229"/>
      <c r="V27" s="228"/>
      <c r="W27" s="228"/>
      <c r="X27" s="6"/>
    </row>
    <row r="28" spans="1:24" ht="15.75" customHeight="1">
      <c r="A28" s="220"/>
      <c r="B28" s="75"/>
      <c r="C28" s="75"/>
      <c r="D28" s="75" t="s">
        <v>596</v>
      </c>
      <c r="E28" s="75"/>
      <c r="F28" s="75"/>
      <c r="G28" s="75"/>
      <c r="H28" s="75"/>
      <c r="I28" s="75" t="s">
        <v>597</v>
      </c>
      <c r="J28" s="75"/>
      <c r="K28" s="75"/>
      <c r="L28" s="75"/>
      <c r="M28" s="221"/>
      <c r="N28" s="227"/>
      <c r="O28" s="229"/>
      <c r="P28" s="228"/>
      <c r="Q28" s="229">
        <v>227048</v>
      </c>
      <c r="R28" s="228"/>
      <c r="S28" s="229">
        <v>227048</v>
      </c>
      <c r="T28" s="229"/>
      <c r="U28" s="229"/>
      <c r="V28" s="228"/>
      <c r="W28" s="229"/>
      <c r="X28" s="6"/>
    </row>
    <row r="29" spans="1:24" ht="15.75" customHeight="1">
      <c r="A29" s="220"/>
      <c r="B29" s="75"/>
      <c r="C29" s="75"/>
      <c r="D29" s="75" t="s">
        <v>598</v>
      </c>
      <c r="E29" s="75"/>
      <c r="F29" s="75"/>
      <c r="G29" s="75"/>
      <c r="H29" s="75"/>
      <c r="I29" s="75" t="s">
        <v>599</v>
      </c>
      <c r="J29" s="75"/>
      <c r="K29" s="75"/>
      <c r="L29" s="75"/>
      <c r="M29" s="221"/>
      <c r="N29" s="227"/>
      <c r="O29" s="228"/>
      <c r="P29" s="228"/>
      <c r="Q29" s="229">
        <v>12601</v>
      </c>
      <c r="R29" s="228"/>
      <c r="S29" s="229">
        <v>12601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 t="s">
        <v>600</v>
      </c>
      <c r="D30" s="75"/>
      <c r="E30" s="75"/>
      <c r="F30" s="75"/>
      <c r="G30" s="75" t="s">
        <v>601</v>
      </c>
      <c r="H30" s="75"/>
      <c r="I30" s="75"/>
      <c r="J30" s="75"/>
      <c r="K30" s="75"/>
      <c r="L30" s="75"/>
      <c r="M30" s="221"/>
      <c r="N30" s="227"/>
      <c r="O30" s="228"/>
      <c r="P30" s="228"/>
      <c r="Q30" s="229">
        <v>23107</v>
      </c>
      <c r="R30" s="228"/>
      <c r="S30" s="229">
        <v>23107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602</v>
      </c>
      <c r="E31" s="75"/>
      <c r="F31" s="75"/>
      <c r="G31" s="75"/>
      <c r="H31" s="75"/>
      <c r="I31" s="75" t="s">
        <v>603</v>
      </c>
      <c r="J31" s="75"/>
      <c r="K31" s="75"/>
      <c r="L31" s="75"/>
      <c r="M31" s="221"/>
      <c r="N31" s="227"/>
      <c r="O31" s="228"/>
      <c r="P31" s="228"/>
      <c r="Q31" s="229">
        <v>3939</v>
      </c>
      <c r="R31" s="228"/>
      <c r="S31" s="229">
        <v>3939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/>
      <c r="D32" s="75" t="s">
        <v>604</v>
      </c>
      <c r="E32" s="75"/>
      <c r="F32" s="75"/>
      <c r="G32" s="75"/>
      <c r="H32" s="75"/>
      <c r="I32" s="75" t="s">
        <v>605</v>
      </c>
      <c r="J32" s="75"/>
      <c r="K32" s="75"/>
      <c r="L32" s="75"/>
      <c r="M32" s="221"/>
      <c r="N32" s="227"/>
      <c r="O32" s="228"/>
      <c r="P32" s="228"/>
      <c r="Q32" s="229">
        <v>19168</v>
      </c>
      <c r="R32" s="228"/>
      <c r="S32" s="229">
        <v>19168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 t="s">
        <v>606</v>
      </c>
      <c r="D33" s="75"/>
      <c r="E33" s="75"/>
      <c r="F33" s="75"/>
      <c r="G33" s="75" t="s">
        <v>607</v>
      </c>
      <c r="H33" s="75"/>
      <c r="I33" s="75"/>
      <c r="J33" s="75"/>
      <c r="K33" s="75"/>
      <c r="L33" s="75"/>
      <c r="M33" s="221"/>
      <c r="N33" s="227"/>
      <c r="O33" s="228"/>
      <c r="P33" s="228"/>
      <c r="Q33" s="229">
        <v>2383</v>
      </c>
      <c r="R33" s="228"/>
      <c r="S33" s="229">
        <v>2383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608</v>
      </c>
      <c r="E34" s="75"/>
      <c r="F34" s="75"/>
      <c r="G34" s="75"/>
      <c r="H34" s="75"/>
      <c r="I34" s="75" t="s">
        <v>609</v>
      </c>
      <c r="J34" s="75"/>
      <c r="K34" s="75"/>
      <c r="L34" s="75"/>
      <c r="M34" s="221"/>
      <c r="N34" s="227"/>
      <c r="O34" s="228"/>
      <c r="P34" s="228"/>
      <c r="Q34" s="229">
        <v>2383</v>
      </c>
      <c r="R34" s="228"/>
      <c r="S34" s="229">
        <v>2383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 t="s">
        <v>610</v>
      </c>
      <c r="D35" s="75"/>
      <c r="E35" s="75"/>
      <c r="F35" s="75"/>
      <c r="G35" s="75" t="s">
        <v>611</v>
      </c>
      <c r="H35" s="75"/>
      <c r="I35" s="75"/>
      <c r="J35" s="75"/>
      <c r="K35" s="75"/>
      <c r="L35" s="75"/>
      <c r="M35" s="221"/>
      <c r="N35" s="227"/>
      <c r="O35" s="228"/>
      <c r="P35" s="228"/>
      <c r="Q35" s="229">
        <v>24100</v>
      </c>
      <c r="R35" s="228"/>
      <c r="S35" s="229">
        <v>24100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/>
      <c r="D36" s="76" t="s">
        <v>612</v>
      </c>
      <c r="E36" s="76"/>
      <c r="F36" s="76"/>
      <c r="G36" s="76"/>
      <c r="H36" s="76"/>
      <c r="I36" s="76" t="s">
        <v>613</v>
      </c>
      <c r="J36" s="76"/>
      <c r="K36" s="76"/>
      <c r="L36" s="76"/>
      <c r="M36" s="223"/>
      <c r="N36" s="230"/>
      <c r="O36" s="231"/>
      <c r="P36" s="231"/>
      <c r="Q36" s="232">
        <v>24100</v>
      </c>
      <c r="R36" s="231"/>
      <c r="S36" s="232">
        <v>24100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 t="s">
        <v>614</v>
      </c>
      <c r="D37" s="74"/>
      <c r="E37" s="74"/>
      <c r="F37" s="74"/>
      <c r="G37" s="74" t="s">
        <v>615</v>
      </c>
      <c r="H37" s="74"/>
      <c r="I37" s="74"/>
      <c r="J37" s="74"/>
      <c r="K37" s="74"/>
      <c r="L37" s="74"/>
      <c r="M37" s="219"/>
      <c r="N37" s="224"/>
      <c r="O37" s="226"/>
      <c r="P37" s="226"/>
      <c r="Q37" s="225">
        <v>124594</v>
      </c>
      <c r="R37" s="226"/>
      <c r="S37" s="225">
        <v>124594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/>
      <c r="D38" s="75" t="s">
        <v>616</v>
      </c>
      <c r="E38" s="75"/>
      <c r="F38" s="75"/>
      <c r="G38" s="75"/>
      <c r="H38" s="75"/>
      <c r="I38" s="75" t="s">
        <v>617</v>
      </c>
      <c r="J38" s="75"/>
      <c r="K38" s="75"/>
      <c r="L38" s="75"/>
      <c r="M38" s="221"/>
      <c r="N38" s="227"/>
      <c r="O38" s="228"/>
      <c r="P38" s="228"/>
      <c r="Q38" s="229">
        <v>35163</v>
      </c>
      <c r="R38" s="228"/>
      <c r="S38" s="229">
        <v>35163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618</v>
      </c>
      <c r="E39" s="75"/>
      <c r="F39" s="75"/>
      <c r="G39" s="75"/>
      <c r="H39" s="75"/>
      <c r="I39" s="75" t="s">
        <v>619</v>
      </c>
      <c r="J39" s="75"/>
      <c r="K39" s="75"/>
      <c r="L39" s="75"/>
      <c r="M39" s="221"/>
      <c r="N39" s="227"/>
      <c r="O39" s="228"/>
      <c r="P39" s="228"/>
      <c r="Q39" s="229">
        <v>37591</v>
      </c>
      <c r="R39" s="228"/>
      <c r="S39" s="229">
        <v>37591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/>
      <c r="D40" s="75" t="s">
        <v>620</v>
      </c>
      <c r="E40" s="75"/>
      <c r="F40" s="75"/>
      <c r="G40" s="75"/>
      <c r="H40" s="75"/>
      <c r="I40" s="75" t="s">
        <v>621</v>
      </c>
      <c r="J40" s="75"/>
      <c r="K40" s="75"/>
      <c r="L40" s="75"/>
      <c r="M40" s="221"/>
      <c r="N40" s="227"/>
      <c r="O40" s="228"/>
      <c r="P40" s="228"/>
      <c r="Q40" s="229">
        <v>51840</v>
      </c>
      <c r="R40" s="228"/>
      <c r="S40" s="229">
        <v>51840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 t="s">
        <v>622</v>
      </c>
      <c r="D41" s="75"/>
      <c r="E41" s="75"/>
      <c r="F41" s="75"/>
      <c r="G41" s="75" t="s">
        <v>623</v>
      </c>
      <c r="H41" s="75"/>
      <c r="I41" s="75"/>
      <c r="J41" s="75"/>
      <c r="K41" s="75"/>
      <c r="L41" s="75"/>
      <c r="M41" s="221"/>
      <c r="N41" s="227"/>
      <c r="O41" s="228"/>
      <c r="P41" s="228"/>
      <c r="Q41" s="229">
        <v>405187</v>
      </c>
      <c r="R41" s="228"/>
      <c r="S41" s="229">
        <v>405187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624</v>
      </c>
      <c r="E42" s="75"/>
      <c r="F42" s="75"/>
      <c r="G42" s="75"/>
      <c r="H42" s="75"/>
      <c r="I42" s="75" t="s">
        <v>625</v>
      </c>
      <c r="J42" s="75"/>
      <c r="K42" s="75"/>
      <c r="L42" s="75"/>
      <c r="M42" s="221"/>
      <c r="N42" s="227"/>
      <c r="O42" s="228"/>
      <c r="P42" s="228"/>
      <c r="Q42" s="229">
        <v>120</v>
      </c>
      <c r="R42" s="228"/>
      <c r="S42" s="229">
        <v>120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626</v>
      </c>
      <c r="E43" s="75"/>
      <c r="F43" s="75"/>
      <c r="G43" s="75"/>
      <c r="H43" s="75"/>
      <c r="I43" s="75" t="s">
        <v>627</v>
      </c>
      <c r="J43" s="75"/>
      <c r="K43" s="75"/>
      <c r="L43" s="75"/>
      <c r="M43" s="221"/>
      <c r="N43" s="227"/>
      <c r="O43" s="228"/>
      <c r="P43" s="228"/>
      <c r="Q43" s="229">
        <v>405067</v>
      </c>
      <c r="R43" s="228"/>
      <c r="S43" s="229">
        <v>405067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 t="s">
        <v>550</v>
      </c>
      <c r="D44" s="75"/>
      <c r="E44" s="75"/>
      <c r="F44" s="75"/>
      <c r="G44" s="75" t="s">
        <v>628</v>
      </c>
      <c r="H44" s="75"/>
      <c r="I44" s="75"/>
      <c r="J44" s="75"/>
      <c r="K44" s="75"/>
      <c r="L44" s="75"/>
      <c r="M44" s="221"/>
      <c r="N44" s="227"/>
      <c r="O44" s="228"/>
      <c r="P44" s="228"/>
      <c r="Q44" s="229">
        <v>180122</v>
      </c>
      <c r="R44" s="228"/>
      <c r="S44" s="229">
        <v>180122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/>
      <c r="D45" s="75" t="s">
        <v>629</v>
      </c>
      <c r="E45" s="75"/>
      <c r="F45" s="75"/>
      <c r="G45" s="75"/>
      <c r="H45" s="75"/>
      <c r="I45" s="75" t="s">
        <v>630</v>
      </c>
      <c r="J45" s="75"/>
      <c r="K45" s="75"/>
      <c r="L45" s="75"/>
      <c r="M45" s="221"/>
      <c r="N45" s="227"/>
      <c r="O45" s="228"/>
      <c r="P45" s="228"/>
      <c r="Q45" s="229">
        <v>51000</v>
      </c>
      <c r="R45" s="228"/>
      <c r="S45" s="229">
        <v>51000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631</v>
      </c>
      <c r="E46" s="75"/>
      <c r="F46" s="75"/>
      <c r="G46" s="75"/>
      <c r="H46" s="75"/>
      <c r="I46" s="75" t="s">
        <v>632</v>
      </c>
      <c r="J46" s="75"/>
      <c r="K46" s="75"/>
      <c r="L46" s="75"/>
      <c r="M46" s="221"/>
      <c r="N46" s="227"/>
      <c r="O46" s="228"/>
      <c r="P46" s="228"/>
      <c r="Q46" s="229">
        <v>14600</v>
      </c>
      <c r="R46" s="228"/>
      <c r="S46" s="229">
        <v>14600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633</v>
      </c>
      <c r="E47" s="75"/>
      <c r="F47" s="75"/>
      <c r="G47" s="75"/>
      <c r="H47" s="75"/>
      <c r="I47" s="75" t="s">
        <v>634</v>
      </c>
      <c r="J47" s="75"/>
      <c r="K47" s="75"/>
      <c r="L47" s="75"/>
      <c r="M47" s="221"/>
      <c r="N47" s="227"/>
      <c r="O47" s="228"/>
      <c r="P47" s="228"/>
      <c r="Q47" s="229">
        <v>91800</v>
      </c>
      <c r="R47" s="228"/>
      <c r="S47" s="229">
        <v>91800</v>
      </c>
      <c r="T47" s="229"/>
      <c r="U47" s="229"/>
      <c r="V47" s="228"/>
      <c r="W47" s="228"/>
      <c r="X47" s="6"/>
    </row>
    <row r="48" spans="1:24" ht="15.75" customHeight="1">
      <c r="A48" s="220"/>
      <c r="B48" s="75"/>
      <c r="C48" s="75"/>
      <c r="D48" s="75" t="s">
        <v>635</v>
      </c>
      <c r="E48" s="75"/>
      <c r="F48" s="75"/>
      <c r="G48" s="75"/>
      <c r="H48" s="75"/>
      <c r="I48" s="75" t="s">
        <v>636</v>
      </c>
      <c r="J48" s="75"/>
      <c r="K48" s="75"/>
      <c r="L48" s="75"/>
      <c r="M48" s="221"/>
      <c r="N48" s="227"/>
      <c r="O48" s="228"/>
      <c r="P48" s="228"/>
      <c r="Q48" s="229">
        <v>22722</v>
      </c>
      <c r="R48" s="228"/>
      <c r="S48" s="229">
        <v>22722</v>
      </c>
      <c r="T48" s="229"/>
      <c r="U48" s="229"/>
      <c r="V48" s="228"/>
      <c r="W48" s="228"/>
      <c r="X48" s="6"/>
    </row>
    <row r="49" spans="1:24" ht="15.75" customHeight="1">
      <c r="A49" s="220"/>
      <c r="B49" s="75" t="s">
        <v>558</v>
      </c>
      <c r="C49" s="75"/>
      <c r="D49" s="75"/>
      <c r="E49" s="75"/>
      <c r="F49" s="75" t="s">
        <v>637</v>
      </c>
      <c r="G49" s="75"/>
      <c r="H49" s="75"/>
      <c r="I49" s="75"/>
      <c r="J49" s="75"/>
      <c r="K49" s="75"/>
      <c r="L49" s="75"/>
      <c r="M49" s="221"/>
      <c r="N49" s="227"/>
      <c r="O49" s="228">
        <v>554000</v>
      </c>
      <c r="P49" s="228"/>
      <c r="Q49" s="229">
        <v>142310</v>
      </c>
      <c r="R49" s="228"/>
      <c r="S49" s="229">
        <v>-411690</v>
      </c>
      <c r="T49" s="229"/>
      <c r="U49" s="229"/>
      <c r="V49" s="228"/>
      <c r="W49" s="228" t="s">
        <v>638</v>
      </c>
      <c r="X49" s="6"/>
    </row>
    <row r="50" spans="1:24" ht="15.75" customHeight="1">
      <c r="A50" s="220"/>
      <c r="B50" s="75"/>
      <c r="C50" s="75" t="s">
        <v>639</v>
      </c>
      <c r="D50" s="75"/>
      <c r="E50" s="75"/>
      <c r="F50" s="75"/>
      <c r="G50" s="75" t="s">
        <v>640</v>
      </c>
      <c r="H50" s="75"/>
      <c r="I50" s="75"/>
      <c r="J50" s="75"/>
      <c r="K50" s="75"/>
      <c r="L50" s="75"/>
      <c r="M50" s="221"/>
      <c r="N50" s="227"/>
      <c r="O50" s="228"/>
      <c r="P50" s="228"/>
      <c r="Q50" s="229">
        <v>142310</v>
      </c>
      <c r="R50" s="228"/>
      <c r="S50" s="229">
        <v>142310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641</v>
      </c>
      <c r="E51" s="75"/>
      <c r="F51" s="75"/>
      <c r="G51" s="75"/>
      <c r="H51" s="75"/>
      <c r="I51" s="75" t="s">
        <v>642</v>
      </c>
      <c r="J51" s="75"/>
      <c r="K51" s="75"/>
      <c r="L51" s="75"/>
      <c r="M51" s="221"/>
      <c r="N51" s="227"/>
      <c r="O51" s="228"/>
      <c r="P51" s="228"/>
      <c r="Q51" s="229">
        <v>81569</v>
      </c>
      <c r="R51" s="228"/>
      <c r="S51" s="229">
        <v>81569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643</v>
      </c>
      <c r="E52" s="75"/>
      <c r="F52" s="75"/>
      <c r="G52" s="75"/>
      <c r="H52" s="75"/>
      <c r="I52" s="75" t="s">
        <v>644</v>
      </c>
      <c r="J52" s="75"/>
      <c r="K52" s="75"/>
      <c r="L52" s="75"/>
      <c r="M52" s="221"/>
      <c r="N52" s="227"/>
      <c r="O52" s="228"/>
      <c r="P52" s="228"/>
      <c r="Q52" s="229">
        <v>1200</v>
      </c>
      <c r="R52" s="228"/>
      <c r="S52" s="229">
        <v>1200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645</v>
      </c>
      <c r="E53" s="75"/>
      <c r="F53" s="75"/>
      <c r="G53" s="75"/>
      <c r="H53" s="75"/>
      <c r="I53" s="75" t="s">
        <v>646</v>
      </c>
      <c r="J53" s="75"/>
      <c r="K53" s="75"/>
      <c r="L53" s="75"/>
      <c r="M53" s="221"/>
      <c r="N53" s="227"/>
      <c r="O53" s="229"/>
      <c r="P53" s="228"/>
      <c r="Q53" s="229">
        <v>12695</v>
      </c>
      <c r="R53" s="228"/>
      <c r="S53" s="229">
        <v>12695</v>
      </c>
      <c r="T53" s="229"/>
      <c r="U53" s="229"/>
      <c r="V53" s="228"/>
      <c r="W53" s="229"/>
      <c r="X53" s="6"/>
    </row>
    <row r="54" spans="1:24" ht="15.75" customHeight="1">
      <c r="A54" s="220"/>
      <c r="B54" s="75"/>
      <c r="C54" s="75"/>
      <c r="D54" s="75" t="s">
        <v>647</v>
      </c>
      <c r="E54" s="75"/>
      <c r="F54" s="75"/>
      <c r="G54" s="75"/>
      <c r="H54" s="75"/>
      <c r="I54" s="75" t="s">
        <v>648</v>
      </c>
      <c r="J54" s="75"/>
      <c r="K54" s="75"/>
      <c r="L54" s="75"/>
      <c r="M54" s="221"/>
      <c r="N54" s="227"/>
      <c r="O54" s="228"/>
      <c r="P54" s="228"/>
      <c r="Q54" s="229">
        <v>3440</v>
      </c>
      <c r="R54" s="228"/>
      <c r="S54" s="229">
        <v>3440</v>
      </c>
      <c r="T54" s="229"/>
      <c r="U54" s="229"/>
      <c r="V54" s="228"/>
      <c r="W54" s="228"/>
      <c r="X54" s="6"/>
    </row>
    <row r="55" spans="1:24" ht="15.75" customHeight="1">
      <c r="A55" s="220"/>
      <c r="B55" s="75"/>
      <c r="C55" s="75"/>
      <c r="D55" s="75" t="s">
        <v>649</v>
      </c>
      <c r="E55" s="75"/>
      <c r="F55" s="75"/>
      <c r="G55" s="75"/>
      <c r="H55" s="75"/>
      <c r="I55" s="75" t="s">
        <v>650</v>
      </c>
      <c r="J55" s="75"/>
      <c r="K55" s="75"/>
      <c r="L55" s="75"/>
      <c r="M55" s="221"/>
      <c r="N55" s="227"/>
      <c r="O55" s="228"/>
      <c r="P55" s="228"/>
      <c r="Q55" s="229">
        <v>43406</v>
      </c>
      <c r="R55" s="228"/>
      <c r="S55" s="229">
        <v>43406</v>
      </c>
      <c r="T55" s="229"/>
      <c r="U55" s="229"/>
      <c r="V55" s="228"/>
      <c r="W55" s="228"/>
      <c r="X55" s="6"/>
    </row>
    <row r="56" spans="1:24" ht="15.75" customHeight="1">
      <c r="A56" s="220"/>
      <c r="B56" s="75" t="s">
        <v>651</v>
      </c>
      <c r="C56" s="75"/>
      <c r="D56" s="75"/>
      <c r="E56" s="75"/>
      <c r="F56" s="75" t="s">
        <v>652</v>
      </c>
      <c r="G56" s="75"/>
      <c r="H56" s="75"/>
      <c r="I56" s="75"/>
      <c r="J56" s="75"/>
      <c r="K56" s="75"/>
      <c r="L56" s="75"/>
      <c r="M56" s="221"/>
      <c r="N56" s="227"/>
      <c r="O56" s="228">
        <v>17000</v>
      </c>
      <c r="P56" s="228"/>
      <c r="Q56" s="229"/>
      <c r="R56" s="228"/>
      <c r="S56" s="229">
        <v>-17000</v>
      </c>
      <c r="T56" s="229"/>
      <c r="U56" s="229"/>
      <c r="V56" s="228"/>
      <c r="W56" s="228" t="s">
        <v>653</v>
      </c>
      <c r="X56" s="6"/>
    </row>
    <row r="57" spans="1:24" ht="15.75" customHeight="1">
      <c r="A57" s="220"/>
      <c r="B57" s="75" t="s">
        <v>654</v>
      </c>
      <c r="C57" s="75"/>
      <c r="D57" s="75"/>
      <c r="E57" s="75"/>
      <c r="F57" s="75" t="s">
        <v>655</v>
      </c>
      <c r="G57" s="75"/>
      <c r="H57" s="75"/>
      <c r="I57" s="75"/>
      <c r="J57" s="75"/>
      <c r="K57" s="75"/>
      <c r="L57" s="75"/>
      <c r="M57" s="221"/>
      <c r="N57" s="227"/>
      <c r="O57" s="228">
        <v>200000</v>
      </c>
      <c r="P57" s="228"/>
      <c r="Q57" s="229"/>
      <c r="R57" s="228"/>
      <c r="S57" s="229">
        <v>-200000</v>
      </c>
      <c r="T57" s="229"/>
      <c r="U57" s="229"/>
      <c r="V57" s="228"/>
      <c r="W57" s="228" t="s">
        <v>653</v>
      </c>
      <c r="X57" s="6"/>
    </row>
    <row r="58" spans="1:24" ht="15.75" customHeight="1">
      <c r="A58" s="220"/>
      <c r="B58" s="75"/>
      <c r="C58" s="75" t="s">
        <v>656</v>
      </c>
      <c r="D58" s="75"/>
      <c r="E58" s="75"/>
      <c r="F58" s="75"/>
      <c r="G58" s="75" t="s">
        <v>657</v>
      </c>
      <c r="H58" s="75"/>
      <c r="I58" s="75"/>
      <c r="J58" s="75"/>
      <c r="K58" s="75"/>
      <c r="L58" s="75"/>
      <c r="M58" s="221"/>
      <c r="N58" s="227"/>
      <c r="O58" s="228">
        <v>200000</v>
      </c>
      <c r="P58" s="228"/>
      <c r="Q58" s="229"/>
      <c r="R58" s="228"/>
      <c r="S58" s="229">
        <v>-200000</v>
      </c>
      <c r="T58" s="229"/>
      <c r="U58" s="229"/>
      <c r="V58" s="228"/>
      <c r="W58" s="228" t="s">
        <v>653</v>
      </c>
      <c r="X58" s="6"/>
    </row>
    <row r="59" spans="1:24" ht="15.75" customHeight="1">
      <c r="A59" s="220"/>
      <c r="B59" s="75"/>
      <c r="C59" s="75"/>
      <c r="D59" s="75" t="s">
        <v>658</v>
      </c>
      <c r="E59" s="75"/>
      <c r="F59" s="75"/>
      <c r="G59" s="75"/>
      <c r="H59" s="75"/>
      <c r="I59" s="75" t="s">
        <v>659</v>
      </c>
      <c r="J59" s="75"/>
      <c r="K59" s="75"/>
      <c r="L59" s="75"/>
      <c r="M59" s="221"/>
      <c r="N59" s="227"/>
      <c r="O59" s="228">
        <v>100000</v>
      </c>
      <c r="P59" s="228"/>
      <c r="Q59" s="229"/>
      <c r="R59" s="228"/>
      <c r="S59" s="229">
        <v>-100000</v>
      </c>
      <c r="T59" s="229"/>
      <c r="U59" s="229"/>
      <c r="V59" s="228"/>
      <c r="W59" s="228" t="s">
        <v>653</v>
      </c>
      <c r="X59" s="6"/>
    </row>
    <row r="60" spans="1:24" ht="15.75" customHeight="1">
      <c r="A60" s="220"/>
      <c r="B60" s="75"/>
      <c r="C60" s="75"/>
      <c r="D60" s="75" t="s">
        <v>660</v>
      </c>
      <c r="E60" s="75"/>
      <c r="F60" s="75"/>
      <c r="G60" s="75"/>
      <c r="H60" s="75"/>
      <c r="I60" s="75" t="s">
        <v>661</v>
      </c>
      <c r="J60" s="75"/>
      <c r="K60" s="75"/>
      <c r="L60" s="75"/>
      <c r="M60" s="221"/>
      <c r="N60" s="227"/>
      <c r="O60" s="228">
        <v>100000</v>
      </c>
      <c r="P60" s="228"/>
      <c r="Q60" s="229"/>
      <c r="R60" s="228"/>
      <c r="S60" s="229">
        <v>-100000</v>
      </c>
      <c r="T60" s="229"/>
      <c r="U60" s="229"/>
      <c r="V60" s="228"/>
      <c r="W60" s="228" t="s">
        <v>653</v>
      </c>
      <c r="X60" s="6"/>
    </row>
    <row r="61" spans="1:24" ht="15.75" customHeight="1">
      <c r="A61" s="222"/>
      <c r="B61" s="76" t="s">
        <v>662</v>
      </c>
      <c r="C61" s="76"/>
      <c r="D61" s="76"/>
      <c r="E61" s="76"/>
      <c r="F61" s="76" t="s">
        <v>663</v>
      </c>
      <c r="G61" s="76"/>
      <c r="H61" s="76"/>
      <c r="I61" s="76"/>
      <c r="J61" s="76"/>
      <c r="K61" s="76"/>
      <c r="L61" s="76"/>
      <c r="M61" s="223"/>
      <c r="N61" s="230"/>
      <c r="O61" s="231">
        <v>92000</v>
      </c>
      <c r="P61" s="231"/>
      <c r="Q61" s="232">
        <v>23900</v>
      </c>
      <c r="R61" s="231"/>
      <c r="S61" s="232">
        <v>-68100</v>
      </c>
      <c r="T61" s="232"/>
      <c r="U61" s="232"/>
      <c r="V61" s="231"/>
      <c r="W61" s="231" t="s">
        <v>664</v>
      </c>
      <c r="X61" s="6"/>
    </row>
    <row r="62" spans="1:24" ht="15.75" customHeight="1">
      <c r="A62" s="218"/>
      <c r="B62" s="74"/>
      <c r="C62" s="74" t="s">
        <v>665</v>
      </c>
      <c r="D62" s="74"/>
      <c r="E62" s="74"/>
      <c r="F62" s="74"/>
      <c r="G62" s="74" t="s">
        <v>666</v>
      </c>
      <c r="H62" s="74"/>
      <c r="I62" s="74"/>
      <c r="J62" s="74"/>
      <c r="K62" s="74"/>
      <c r="L62" s="74"/>
      <c r="M62" s="219"/>
      <c r="N62" s="224"/>
      <c r="O62" s="225"/>
      <c r="P62" s="226"/>
      <c r="Q62" s="226">
        <v>2000</v>
      </c>
      <c r="R62" s="226"/>
      <c r="S62" s="225">
        <v>2000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/>
      <c r="D63" s="75" t="s">
        <v>667</v>
      </c>
      <c r="E63" s="75"/>
      <c r="F63" s="75"/>
      <c r="G63" s="75"/>
      <c r="H63" s="75"/>
      <c r="I63" s="75" t="s">
        <v>668</v>
      </c>
      <c r="J63" s="75"/>
      <c r="K63" s="75"/>
      <c r="L63" s="75"/>
      <c r="M63" s="221"/>
      <c r="N63" s="227"/>
      <c r="O63" s="229"/>
      <c r="P63" s="228"/>
      <c r="Q63" s="229">
        <v>2000</v>
      </c>
      <c r="R63" s="228"/>
      <c r="S63" s="229">
        <v>2000</v>
      </c>
      <c r="T63" s="229"/>
      <c r="U63" s="229"/>
      <c r="V63" s="228"/>
      <c r="W63" s="229"/>
      <c r="X63" s="6"/>
    </row>
    <row r="64" spans="1:24" ht="15.75" customHeight="1">
      <c r="A64" s="220"/>
      <c r="B64" s="75"/>
      <c r="C64" s="75" t="s">
        <v>669</v>
      </c>
      <c r="D64" s="75"/>
      <c r="E64" s="75"/>
      <c r="F64" s="75"/>
      <c r="G64" s="75" t="s">
        <v>670</v>
      </c>
      <c r="H64" s="75"/>
      <c r="I64" s="75"/>
      <c r="J64" s="75"/>
      <c r="K64" s="75"/>
      <c r="L64" s="75"/>
      <c r="M64" s="221"/>
      <c r="N64" s="227"/>
      <c r="O64" s="229"/>
      <c r="P64" s="228"/>
      <c r="Q64" s="229">
        <v>10000</v>
      </c>
      <c r="R64" s="228"/>
      <c r="S64" s="229">
        <v>10000</v>
      </c>
      <c r="T64" s="229"/>
      <c r="U64" s="229"/>
      <c r="V64" s="228"/>
      <c r="W64" s="229"/>
      <c r="X64" s="6"/>
    </row>
    <row r="65" spans="1:24" ht="15.75" customHeight="1">
      <c r="A65" s="220"/>
      <c r="B65" s="75"/>
      <c r="C65" s="75"/>
      <c r="D65" s="75" t="s">
        <v>671</v>
      </c>
      <c r="E65" s="75"/>
      <c r="F65" s="75"/>
      <c r="G65" s="75"/>
      <c r="H65" s="75"/>
      <c r="I65" s="75" t="s">
        <v>672</v>
      </c>
      <c r="J65" s="75"/>
      <c r="K65" s="75"/>
      <c r="L65" s="75"/>
      <c r="M65" s="221"/>
      <c r="N65" s="227"/>
      <c r="O65" s="229"/>
      <c r="P65" s="228"/>
      <c r="Q65" s="229">
        <v>10000</v>
      </c>
      <c r="R65" s="228"/>
      <c r="S65" s="229">
        <v>10000</v>
      </c>
      <c r="T65" s="229"/>
      <c r="U65" s="229"/>
      <c r="V65" s="228"/>
      <c r="W65" s="229"/>
      <c r="X65" s="6"/>
    </row>
    <row r="66" spans="1:24" ht="15.75" customHeight="1">
      <c r="A66" s="220"/>
      <c r="B66" s="75"/>
      <c r="C66" s="75" t="s">
        <v>673</v>
      </c>
      <c r="D66" s="75"/>
      <c r="E66" s="75"/>
      <c r="F66" s="75"/>
      <c r="G66" s="75" t="s">
        <v>674</v>
      </c>
      <c r="H66" s="75"/>
      <c r="I66" s="75"/>
      <c r="J66" s="75"/>
      <c r="K66" s="75"/>
      <c r="L66" s="75"/>
      <c r="M66" s="221"/>
      <c r="N66" s="227"/>
      <c r="O66" s="229"/>
      <c r="P66" s="228"/>
      <c r="Q66" s="229">
        <v>11900</v>
      </c>
      <c r="R66" s="228"/>
      <c r="S66" s="229">
        <v>11900</v>
      </c>
      <c r="T66" s="229"/>
      <c r="U66" s="229"/>
      <c r="V66" s="228"/>
      <c r="W66" s="229"/>
      <c r="X66" s="6"/>
    </row>
    <row r="67" spans="1:24" ht="15.75" customHeight="1">
      <c r="A67" s="220"/>
      <c r="B67" s="75"/>
      <c r="C67" s="75"/>
      <c r="D67" s="75" t="s">
        <v>675</v>
      </c>
      <c r="E67" s="75"/>
      <c r="F67" s="75"/>
      <c r="G67" s="75"/>
      <c r="H67" s="75"/>
      <c r="I67" s="75" t="s">
        <v>676</v>
      </c>
      <c r="J67" s="75"/>
      <c r="K67" s="75"/>
      <c r="L67" s="75"/>
      <c r="M67" s="221"/>
      <c r="N67" s="227"/>
      <c r="O67" s="229"/>
      <c r="P67" s="228"/>
      <c r="Q67" s="229">
        <v>11900</v>
      </c>
      <c r="R67" s="228"/>
      <c r="S67" s="229">
        <v>11900</v>
      </c>
      <c r="T67" s="229"/>
      <c r="U67" s="229"/>
      <c r="V67" s="228"/>
      <c r="W67" s="229"/>
      <c r="X67" s="6"/>
    </row>
    <row r="68" spans="1:24" ht="15.75" customHeight="1">
      <c r="A68" s="220"/>
      <c r="B68" s="75" t="s">
        <v>677</v>
      </c>
      <c r="C68" s="75"/>
      <c r="D68" s="75"/>
      <c r="E68" s="75"/>
      <c r="F68" s="75" t="s">
        <v>199</v>
      </c>
      <c r="G68" s="75"/>
      <c r="H68" s="75"/>
      <c r="I68" s="75"/>
      <c r="J68" s="75"/>
      <c r="K68" s="75"/>
      <c r="L68" s="75"/>
      <c r="M68" s="221"/>
      <c r="N68" s="227"/>
      <c r="O68" s="228">
        <v>148000</v>
      </c>
      <c r="P68" s="228"/>
      <c r="Q68" s="229">
        <v>20600</v>
      </c>
      <c r="R68" s="228"/>
      <c r="S68" s="229">
        <v>-127400</v>
      </c>
      <c r="T68" s="229"/>
      <c r="U68" s="229"/>
      <c r="V68" s="228"/>
      <c r="W68" s="228" t="s">
        <v>678</v>
      </c>
      <c r="X68" s="6"/>
    </row>
    <row r="69" spans="1:24" ht="15.75" customHeight="1">
      <c r="A69" s="220"/>
      <c r="B69" s="75"/>
      <c r="C69" s="75" t="s">
        <v>679</v>
      </c>
      <c r="D69" s="75"/>
      <c r="E69" s="75"/>
      <c r="F69" s="75"/>
      <c r="G69" s="75" t="s">
        <v>680</v>
      </c>
      <c r="H69" s="75"/>
      <c r="I69" s="75"/>
      <c r="J69" s="75"/>
      <c r="K69" s="75"/>
      <c r="L69" s="75"/>
      <c r="M69" s="221"/>
      <c r="N69" s="227"/>
      <c r="O69" s="228"/>
      <c r="P69" s="228"/>
      <c r="Q69" s="229">
        <v>20600</v>
      </c>
      <c r="R69" s="228"/>
      <c r="S69" s="229">
        <v>20600</v>
      </c>
      <c r="T69" s="229"/>
      <c r="U69" s="229"/>
      <c r="V69" s="228"/>
      <c r="W69" s="228"/>
      <c r="X69" s="6"/>
    </row>
    <row r="70" spans="1:24" ht="15.75" customHeight="1">
      <c r="A70" s="220"/>
      <c r="B70" s="75"/>
      <c r="C70" s="75"/>
      <c r="D70" s="75" t="s">
        <v>681</v>
      </c>
      <c r="E70" s="75"/>
      <c r="F70" s="75"/>
      <c r="G70" s="75"/>
      <c r="H70" s="75"/>
      <c r="I70" s="75" t="s">
        <v>199</v>
      </c>
      <c r="J70" s="75"/>
      <c r="K70" s="75"/>
      <c r="L70" s="75"/>
      <c r="M70" s="221"/>
      <c r="N70" s="227"/>
      <c r="O70" s="228"/>
      <c r="P70" s="228"/>
      <c r="Q70" s="229">
        <v>20600</v>
      </c>
      <c r="R70" s="228"/>
      <c r="S70" s="229">
        <v>20600</v>
      </c>
      <c r="T70" s="229"/>
      <c r="U70" s="229"/>
      <c r="V70" s="228"/>
      <c r="W70" s="228"/>
      <c r="X70" s="6"/>
    </row>
    <row r="71" spans="1:24" ht="15.75" customHeight="1">
      <c r="A71" s="220"/>
      <c r="B71" s="75"/>
      <c r="C71" s="75"/>
      <c r="D71" s="75" t="s">
        <v>682</v>
      </c>
      <c r="E71" s="75"/>
      <c r="F71" s="75"/>
      <c r="G71" s="75"/>
      <c r="H71" s="75"/>
      <c r="I71" s="75"/>
      <c r="J71" s="75"/>
      <c r="K71" s="75"/>
      <c r="L71" s="75"/>
      <c r="M71" s="221"/>
      <c r="N71" s="227"/>
      <c r="O71" s="228">
        <v>137371000</v>
      </c>
      <c r="P71" s="228"/>
      <c r="Q71" s="229">
        <v>56084211</v>
      </c>
      <c r="R71" s="228"/>
      <c r="S71" s="229">
        <v>-81286789</v>
      </c>
      <c r="T71" s="229"/>
      <c r="U71" s="229"/>
      <c r="V71" s="228"/>
      <c r="W71" s="228" t="s">
        <v>683</v>
      </c>
      <c r="X71" s="6"/>
    </row>
    <row r="72" spans="1:24" ht="15.75" customHeight="1">
      <c r="A72" s="220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221"/>
      <c r="N72" s="227"/>
      <c r="O72" s="228"/>
      <c r="P72" s="228"/>
      <c r="Q72" s="229"/>
      <c r="R72" s="228"/>
      <c r="S72" s="229"/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221"/>
      <c r="N73" s="227"/>
      <c r="O73" s="228"/>
      <c r="P73" s="228"/>
      <c r="Q73" s="229"/>
      <c r="R73" s="228"/>
      <c r="S73" s="229"/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221"/>
      <c r="N74" s="227"/>
      <c r="O74" s="228"/>
      <c r="P74" s="228"/>
      <c r="Q74" s="229"/>
      <c r="R74" s="228"/>
      <c r="S74" s="229"/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221"/>
      <c r="N75" s="227"/>
      <c r="O75" s="228"/>
      <c r="P75" s="228"/>
      <c r="Q75" s="229"/>
      <c r="R75" s="228"/>
      <c r="S75" s="229"/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221"/>
      <c r="N76" s="227"/>
      <c r="O76" s="228"/>
      <c r="P76" s="228"/>
      <c r="Q76" s="229"/>
      <c r="R76" s="228"/>
      <c r="S76" s="229"/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221"/>
      <c r="N77" s="227"/>
      <c r="O77" s="228"/>
      <c r="P77" s="228"/>
      <c r="Q77" s="229"/>
      <c r="R77" s="228"/>
      <c r="S77" s="229"/>
      <c r="T77" s="229"/>
      <c r="U77" s="229"/>
      <c r="V77" s="228"/>
      <c r="W77" s="228"/>
      <c r="X77" s="6"/>
    </row>
    <row r="78" spans="1:24" ht="15.75" customHeight="1">
      <c r="A78" s="220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21"/>
      <c r="N78" s="227"/>
      <c r="O78" s="228"/>
      <c r="P78" s="228"/>
      <c r="Q78" s="229"/>
      <c r="R78" s="228"/>
      <c r="S78" s="229"/>
      <c r="T78" s="229"/>
      <c r="U78" s="229"/>
      <c r="V78" s="228"/>
      <c r="W78" s="228"/>
      <c r="X78" s="6"/>
    </row>
    <row r="79" spans="1:24" ht="15.75" customHeight="1">
      <c r="A79" s="220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21"/>
      <c r="N79" s="227"/>
      <c r="O79" s="228"/>
      <c r="P79" s="228"/>
      <c r="Q79" s="229"/>
      <c r="R79" s="228"/>
      <c r="S79" s="229"/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21"/>
      <c r="N80" s="227"/>
      <c r="O80" s="228"/>
      <c r="P80" s="228"/>
      <c r="Q80" s="229"/>
      <c r="R80" s="228"/>
      <c r="S80" s="229"/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/>
      <c r="P81" s="228"/>
      <c r="Q81" s="229"/>
      <c r="R81" s="228"/>
      <c r="S81" s="229"/>
      <c r="T81" s="229"/>
      <c r="U81" s="229"/>
      <c r="V81" s="228"/>
      <c r="W81" s="228"/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1" width="5.42578125" style="380" customWidth="1"/>
    <col min="2" max="2" width="5" style="380" customWidth="1"/>
    <col min="3" max="3" width="21.5703125" style="380" customWidth="1"/>
    <col min="4" max="4" width="3.28515625" style="380" customWidth="1"/>
    <col min="5" max="5" width="14" style="49" customWidth="1"/>
    <col min="6" max="6" width="9.140625" style="380"/>
    <col min="7" max="7" width="10.28515625" style="380" customWidth="1"/>
    <col min="8" max="13" width="9.140625" style="380"/>
    <col min="14" max="15" width="3.42578125" style="380" customWidth="1"/>
    <col min="16" max="16" width="5.5703125" style="380" customWidth="1"/>
    <col min="17" max="16384" width="9.140625" style="380"/>
  </cols>
  <sheetData>
    <row r="1" spans="1:16" ht="25.5">
      <c r="A1" s="738" t="str">
        <f>封面!$A$4</f>
        <v>彰化縣地方教育發展基金－彰化縣彰化市民生國民小學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  <c r="M1" s="738"/>
      <c r="N1" s="738"/>
      <c r="O1" s="738"/>
    </row>
    <row r="2" spans="1:16" ht="19.5">
      <c r="A2" s="739" t="s">
        <v>115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</row>
    <row r="3" spans="1:16" ht="15.75">
      <c r="A3" s="740" t="str">
        <f>封面!$E$10&amp;封面!$H$10&amp;封面!$I$10&amp;封面!$J$10&amp;封面!$K$10&amp;封面!L10</f>
        <v>中華民國114年4月份</v>
      </c>
      <c r="B3" s="740"/>
      <c r="C3" s="740"/>
      <c r="D3" s="740"/>
      <c r="E3" s="740"/>
      <c r="F3" s="740"/>
      <c r="G3" s="740"/>
      <c r="H3" s="740"/>
      <c r="I3" s="740"/>
      <c r="J3" s="740"/>
      <c r="K3" s="740"/>
      <c r="L3" s="740"/>
      <c r="M3" s="740"/>
      <c r="N3" s="740"/>
      <c r="O3" s="740"/>
    </row>
    <row r="4" spans="1:16" s="381" customFormat="1" ht="16.5">
      <c r="A4" s="381" t="s">
        <v>215</v>
      </c>
      <c r="B4" s="737" t="s">
        <v>216</v>
      </c>
      <c r="C4" s="737"/>
      <c r="D4" s="737"/>
      <c r="E4" s="737"/>
      <c r="F4" s="737"/>
      <c r="G4" s="737"/>
      <c r="H4" s="737"/>
      <c r="I4" s="737"/>
      <c r="J4" s="737"/>
      <c r="K4" s="737"/>
      <c r="L4" s="737"/>
      <c r="M4" s="737"/>
      <c r="N4" s="737"/>
      <c r="O4" s="737"/>
      <c r="P4" s="737"/>
    </row>
    <row r="5" spans="1:16" s="381" customFormat="1" ht="16.5">
      <c r="B5" s="381" t="s">
        <v>223</v>
      </c>
      <c r="C5" s="381" t="s">
        <v>416</v>
      </c>
      <c r="D5" s="89" t="s">
        <v>217</v>
      </c>
      <c r="E5" s="50" t="s">
        <v>474</v>
      </c>
    </row>
    <row r="6" spans="1:16" s="381" customFormat="1" ht="16.5">
      <c r="D6" s="556"/>
      <c r="E6" s="50" t="s">
        <v>475</v>
      </c>
      <c r="H6" s="296" t="s">
        <v>476</v>
      </c>
      <c r="I6" s="296"/>
      <c r="J6" s="296"/>
      <c r="K6" s="296"/>
      <c r="L6" s="296"/>
      <c r="M6" s="296"/>
      <c r="N6" s="296"/>
      <c r="O6" s="296"/>
      <c r="P6" s="296"/>
    </row>
    <row r="7" spans="1:16" s="381" customFormat="1" ht="16.5">
      <c r="B7" s="381" t="s">
        <v>226</v>
      </c>
      <c r="C7" s="381" t="s">
        <v>417</v>
      </c>
      <c r="E7" s="50" t="s">
        <v>474</v>
      </c>
      <c r="H7" s="296"/>
      <c r="I7" s="296"/>
      <c r="J7" s="296"/>
      <c r="K7" s="296"/>
      <c r="L7" s="296"/>
      <c r="M7" s="296"/>
      <c r="N7" s="296"/>
      <c r="O7" s="296"/>
      <c r="P7" s="296"/>
    </row>
    <row r="8" spans="1:16" s="381" customFormat="1" ht="16.5">
      <c r="D8" s="89" t="s">
        <v>217</v>
      </c>
      <c r="E8" s="50" t="s">
        <v>475</v>
      </c>
      <c r="H8" s="184" t="s">
        <v>425</v>
      </c>
      <c r="I8" s="296"/>
      <c r="J8" s="296"/>
      <c r="K8" s="296"/>
      <c r="L8" s="296"/>
      <c r="M8" s="296"/>
      <c r="N8" s="296"/>
      <c r="O8" s="296"/>
      <c r="P8" s="296"/>
    </row>
    <row r="9" spans="1:16" s="381" customFormat="1" ht="16.5">
      <c r="B9" s="381" t="s">
        <v>277</v>
      </c>
      <c r="C9" s="381" t="s">
        <v>218</v>
      </c>
      <c r="D9" s="89" t="s">
        <v>217</v>
      </c>
      <c r="E9" s="50" t="s">
        <v>474</v>
      </c>
      <c r="H9" s="296"/>
      <c r="I9" s="296"/>
      <c r="J9" s="296"/>
      <c r="K9" s="296"/>
      <c r="L9" s="296"/>
      <c r="M9" s="296"/>
      <c r="N9" s="296"/>
      <c r="O9" s="296"/>
      <c r="P9" s="296"/>
    </row>
    <row r="10" spans="1:16" s="381" customFormat="1" ht="16.5">
      <c r="D10" s="541"/>
      <c r="E10" s="50" t="s">
        <v>475</v>
      </c>
      <c r="H10" s="542" t="s">
        <v>468</v>
      </c>
      <c r="I10" s="296"/>
      <c r="J10" s="296"/>
      <c r="K10" s="296"/>
      <c r="L10" s="296"/>
      <c r="M10" s="296"/>
      <c r="N10" s="296"/>
      <c r="O10" s="296"/>
      <c r="P10" s="296"/>
    </row>
    <row r="11" spans="1:16" s="381" customFormat="1" ht="16.5">
      <c r="B11" s="381" t="s">
        <v>278</v>
      </c>
      <c r="C11" s="381" t="s">
        <v>219</v>
      </c>
      <c r="D11" s="89" t="s">
        <v>217</v>
      </c>
      <c r="E11" s="50" t="s">
        <v>474</v>
      </c>
      <c r="H11" s="296"/>
      <c r="I11" s="296"/>
      <c r="J11" s="296"/>
      <c r="K11" s="296"/>
      <c r="L11" s="296"/>
      <c r="M11" s="296"/>
      <c r="N11" s="296"/>
      <c r="O11" s="296"/>
      <c r="P11" s="296"/>
    </row>
    <row r="12" spans="1:16" s="381" customFormat="1" ht="16.5">
      <c r="E12" s="50" t="s">
        <v>475</v>
      </c>
      <c r="H12" s="296"/>
      <c r="I12" s="296"/>
      <c r="J12" s="296"/>
      <c r="K12" s="296"/>
      <c r="L12" s="296"/>
      <c r="M12" s="296"/>
      <c r="N12" s="296"/>
      <c r="O12" s="296"/>
      <c r="P12" s="296"/>
    </row>
    <row r="13" spans="1:16" s="381" customFormat="1" ht="16.5" hidden="1">
      <c r="B13" s="381" t="s">
        <v>279</v>
      </c>
      <c r="C13" s="382" t="s">
        <v>472</v>
      </c>
      <c r="D13" s="89" t="s">
        <v>217</v>
      </c>
      <c r="E13" s="392" t="s">
        <v>474</v>
      </c>
      <c r="H13" s="296"/>
      <c r="I13" s="296"/>
      <c r="J13" s="296"/>
      <c r="K13" s="296"/>
      <c r="L13" s="296"/>
      <c r="M13" s="296"/>
      <c r="N13" s="296"/>
      <c r="O13" s="296"/>
      <c r="P13" s="296"/>
    </row>
    <row r="14" spans="1:16" s="381" customFormat="1" ht="16.5" hidden="1" customHeight="1">
      <c r="C14" s="382"/>
      <c r="D14" s="541"/>
      <c r="E14" s="393" t="s">
        <v>475</v>
      </c>
      <c r="H14" s="184" t="s">
        <v>473</v>
      </c>
      <c r="I14" s="296"/>
      <c r="J14" s="296"/>
      <c r="K14" s="296"/>
      <c r="L14" s="296"/>
      <c r="M14" s="296"/>
      <c r="N14" s="296"/>
      <c r="O14" s="296"/>
      <c r="P14" s="296"/>
    </row>
    <row r="15" spans="1:16" s="381" customFormat="1" ht="16.5">
      <c r="B15" s="381" t="s">
        <v>279</v>
      </c>
      <c r="C15" s="382" t="s">
        <v>220</v>
      </c>
      <c r="D15" s="556"/>
      <c r="E15" s="392" t="s">
        <v>474</v>
      </c>
      <c r="H15" s="296"/>
      <c r="I15" s="296"/>
      <c r="J15" s="296"/>
      <c r="K15" s="296"/>
      <c r="L15" s="296"/>
      <c r="M15" s="296"/>
      <c r="N15" s="296"/>
      <c r="O15" s="296"/>
      <c r="P15" s="296"/>
    </row>
    <row r="16" spans="1:16" s="381" customFormat="1" ht="16.5" customHeight="1">
      <c r="C16" s="382"/>
      <c r="D16" s="89" t="s">
        <v>217</v>
      </c>
      <c r="E16" s="393" t="s">
        <v>475</v>
      </c>
      <c r="H16" s="741" t="s">
        <v>485</v>
      </c>
      <c r="I16" s="741"/>
      <c r="J16" s="741"/>
      <c r="K16" s="741"/>
      <c r="L16" s="741"/>
      <c r="M16" s="741"/>
      <c r="N16" s="741"/>
      <c r="O16" s="741"/>
      <c r="P16" s="741"/>
    </row>
    <row r="17" spans="1:16" s="381" customFormat="1" ht="16.5" customHeight="1">
      <c r="C17" s="382"/>
      <c r="D17" s="332"/>
      <c r="E17" s="331"/>
      <c r="H17" s="741"/>
      <c r="I17" s="741"/>
      <c r="J17" s="741"/>
      <c r="K17" s="741"/>
      <c r="L17" s="741"/>
      <c r="M17" s="741"/>
      <c r="N17" s="741"/>
      <c r="O17" s="741"/>
      <c r="P17" s="741"/>
    </row>
    <row r="18" spans="1:16" s="381" customFormat="1" ht="15.75" customHeight="1">
      <c r="C18" s="382"/>
      <c r="D18" s="382"/>
      <c r="E18" s="318"/>
    </row>
    <row r="19" spans="1:16" s="381" customFormat="1" ht="16.5">
      <c r="A19" s="381" t="s">
        <v>221</v>
      </c>
      <c r="B19" s="737" t="s">
        <v>222</v>
      </c>
      <c r="C19" s="737"/>
      <c r="D19" s="737"/>
      <c r="E19" s="737"/>
      <c r="F19" s="737"/>
      <c r="G19" s="737"/>
      <c r="H19" s="737"/>
      <c r="I19" s="737"/>
      <c r="J19" s="737"/>
      <c r="K19" s="737"/>
      <c r="L19" s="737"/>
      <c r="M19" s="737"/>
      <c r="N19" s="737"/>
    </row>
    <row r="20" spans="1:16" s="381" customFormat="1" ht="16.5">
      <c r="B20" s="381" t="s">
        <v>223</v>
      </c>
      <c r="C20" s="382" t="s">
        <v>224</v>
      </c>
      <c r="D20" s="382"/>
      <c r="E20" s="333"/>
    </row>
    <row r="21" spans="1:16" s="381" customFormat="1" ht="16.5">
      <c r="C21" s="382" t="s">
        <v>225</v>
      </c>
      <c r="D21" s="330" t="s">
        <v>217</v>
      </c>
      <c r="E21" s="333" t="s">
        <v>474</v>
      </c>
    </row>
    <row r="22" spans="1:16" s="381" customFormat="1" ht="16.5">
      <c r="C22" s="382"/>
      <c r="E22" s="333" t="s">
        <v>475</v>
      </c>
      <c r="H22" s="421"/>
      <c r="I22" s="419"/>
      <c r="J22" s="419"/>
      <c r="K22" s="419"/>
      <c r="L22" s="419"/>
      <c r="M22" s="419"/>
      <c r="N22" s="419"/>
      <c r="O22" s="419"/>
      <c r="P22" s="419"/>
    </row>
    <row r="23" spans="1:16" s="381" customFormat="1" ht="16.5">
      <c r="B23" s="381" t="s">
        <v>226</v>
      </c>
      <c r="C23" s="382"/>
      <c r="D23" s="332"/>
      <c r="E23" s="333"/>
      <c r="H23" s="420"/>
      <c r="I23" s="420"/>
      <c r="J23" s="420"/>
      <c r="K23" s="420"/>
      <c r="L23" s="420"/>
      <c r="M23" s="420"/>
      <c r="N23" s="420"/>
      <c r="O23" s="420"/>
      <c r="P23" s="420"/>
    </row>
    <row r="24" spans="1:16" s="381" customFormat="1" ht="16.5">
      <c r="C24" s="382" t="s">
        <v>227</v>
      </c>
      <c r="D24" s="382"/>
      <c r="E24" s="333"/>
    </row>
    <row r="25" spans="1:16" s="381" customFormat="1" ht="16.5" hidden="1">
      <c r="C25" s="498" t="s">
        <v>451</v>
      </c>
      <c r="E25" s="51" t="s">
        <v>474</v>
      </c>
    </row>
    <row r="26" spans="1:16" s="381" customFormat="1" ht="16.5" hidden="1">
      <c r="D26" s="89" t="s">
        <v>217</v>
      </c>
      <c r="E26" s="50" t="s">
        <v>475</v>
      </c>
      <c r="H26" s="735" t="s">
        <v>452</v>
      </c>
      <c r="I26" s="736"/>
      <c r="J26" s="736"/>
      <c r="K26" s="736"/>
      <c r="L26" s="736"/>
      <c r="M26" s="736"/>
      <c r="N26" s="736"/>
      <c r="O26" s="736"/>
      <c r="P26" s="736"/>
    </row>
    <row r="27" spans="1:16" s="381" customFormat="1" ht="16.5" hidden="1">
      <c r="D27" s="499"/>
      <c r="E27" s="50"/>
      <c r="H27" s="736"/>
      <c r="I27" s="736"/>
      <c r="J27" s="736"/>
      <c r="K27" s="736"/>
      <c r="L27" s="736"/>
      <c r="M27" s="736"/>
      <c r="N27" s="736"/>
      <c r="O27" s="736"/>
      <c r="P27" s="736"/>
    </row>
    <row r="28" spans="1:16" s="381" customFormat="1" ht="16.5">
      <c r="C28" s="381" t="s">
        <v>477</v>
      </c>
      <c r="D28" s="500"/>
      <c r="E28" s="51" t="s">
        <v>474</v>
      </c>
    </row>
    <row r="29" spans="1:16" s="381" customFormat="1" ht="16.5">
      <c r="D29" s="89" t="s">
        <v>217</v>
      </c>
      <c r="E29" s="50" t="s">
        <v>475</v>
      </c>
      <c r="H29" s="735" t="s">
        <v>452</v>
      </c>
      <c r="I29" s="736"/>
      <c r="J29" s="736"/>
      <c r="K29" s="736"/>
      <c r="L29" s="736"/>
      <c r="M29" s="736"/>
      <c r="N29" s="736"/>
      <c r="O29" s="736"/>
      <c r="P29" s="736"/>
    </row>
    <row r="30" spans="1:16" s="381" customFormat="1" ht="16.5">
      <c r="E30" s="51"/>
      <c r="H30" s="736"/>
      <c r="I30" s="736"/>
      <c r="J30" s="736"/>
      <c r="K30" s="736"/>
      <c r="L30" s="736"/>
      <c r="M30" s="736"/>
      <c r="N30" s="736"/>
      <c r="O30" s="736"/>
      <c r="P30" s="736"/>
    </row>
    <row r="31" spans="1:16" s="381" customFormat="1" ht="16.5">
      <c r="E31" s="51"/>
    </row>
    <row r="32" spans="1:16" s="381" customFormat="1" ht="16.5">
      <c r="E32" s="51"/>
    </row>
    <row r="33" spans="5:5" s="381" customFormat="1" ht="16.5">
      <c r="E33" s="51"/>
    </row>
    <row r="34" spans="5:5" s="381" customFormat="1" ht="16.5">
      <c r="E34" s="51"/>
    </row>
    <row r="35" spans="5:5" s="381" customFormat="1" ht="16.5">
      <c r="E35" s="51"/>
    </row>
    <row r="36" spans="5:5" s="381" customFormat="1" ht="16.5">
      <c r="E36" s="51"/>
    </row>
    <row r="37" spans="5:5" s="381" customFormat="1" ht="16.5">
      <c r="E37" s="51"/>
    </row>
    <row r="38" spans="5:5" s="381" customFormat="1" ht="16.5">
      <c r="E38" s="51"/>
    </row>
    <row r="39" spans="5:5" s="381" customFormat="1" ht="16.5">
      <c r="E39" s="51"/>
    </row>
    <row r="40" spans="5:5" s="381" customFormat="1" ht="16.5">
      <c r="E40" s="51"/>
    </row>
    <row r="41" spans="5:5" s="381" customFormat="1" ht="16.5">
      <c r="E41" s="51"/>
    </row>
    <row r="42" spans="5:5" s="381" customFormat="1" ht="16.5">
      <c r="E42" s="51"/>
    </row>
    <row r="43" spans="5:5" s="381" customFormat="1" ht="16.5">
      <c r="E43" s="51"/>
    </row>
    <row r="44" spans="5:5" s="381" customFormat="1" ht="16.5">
      <c r="E44" s="51"/>
    </row>
    <row r="45" spans="5:5" s="381" customFormat="1" ht="16.5">
      <c r="E45" s="51"/>
    </row>
    <row r="46" spans="5:5" s="381" customFormat="1" ht="16.5">
      <c r="E46" s="51"/>
    </row>
    <row r="47" spans="5:5" s="381" customFormat="1" ht="16.5">
      <c r="E47" s="51"/>
    </row>
    <row r="48" spans="5:5" s="381" customFormat="1" ht="16.5">
      <c r="E48" s="51"/>
    </row>
    <row r="49" spans="5:5" s="381" customFormat="1" ht="16.5">
      <c r="E49" s="51"/>
    </row>
    <row r="50" spans="5:5" s="381" customFormat="1" ht="16.5">
      <c r="E50" s="51"/>
    </row>
    <row r="51" spans="5:5" s="381" customFormat="1" ht="16.5">
      <c r="E51" s="51"/>
    </row>
    <row r="52" spans="5:5" s="381" customFormat="1" ht="16.5">
      <c r="E52" s="51"/>
    </row>
    <row r="53" spans="5:5" s="381" customFormat="1" ht="16.5">
      <c r="E53" s="51"/>
    </row>
    <row r="54" spans="5:5" s="381" customFormat="1" ht="16.5">
      <c r="E54" s="51"/>
    </row>
    <row r="55" spans="5:5" s="381" customFormat="1" ht="16.5">
      <c r="E55" s="51"/>
    </row>
    <row r="56" spans="5:5" s="381" customFormat="1" ht="16.5">
      <c r="E56" s="51"/>
    </row>
    <row r="57" spans="5:5" s="381" customFormat="1" ht="16.5">
      <c r="E57" s="51"/>
    </row>
    <row r="58" spans="5:5" s="381" customFormat="1" ht="16.5">
      <c r="E58" s="51"/>
    </row>
    <row r="59" spans="5:5" s="381" customFormat="1" ht="16.5">
      <c r="E59" s="51"/>
    </row>
    <row r="60" spans="5:5" s="381" customFormat="1" ht="16.5">
      <c r="E60" s="51"/>
    </row>
    <row r="61" spans="5:5" s="381" customFormat="1" ht="16.5">
      <c r="E61" s="51"/>
    </row>
    <row r="62" spans="5:5" s="381" customFormat="1" ht="16.5">
      <c r="E62" s="51"/>
    </row>
    <row r="63" spans="5:5" s="381" customFormat="1" ht="16.5">
      <c r="E63" s="51"/>
    </row>
    <row r="64" spans="5:5" s="381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7" activePane="bottomRight" state="frozen"/>
      <selection activeCell="J11" sqref="J11"/>
      <selection pane="topRight" activeCell="J11" sqref="J11"/>
      <selection pane="bottomLeft" activeCell="J11" sqref="J11"/>
      <selection pane="bottomRight" activeCell="J11" sqref="J11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85" t="str">
        <f>封面!$A$4</f>
        <v>彰化縣地方教育發展基金－彰化縣彰化市民生國民小學</v>
      </c>
      <c r="B1" s="685"/>
      <c r="C1" s="685"/>
      <c r="D1" s="685"/>
      <c r="E1" s="685"/>
      <c r="F1" s="685"/>
      <c r="G1" s="685"/>
      <c r="H1" s="685"/>
      <c r="I1" s="597"/>
      <c r="J1" s="597"/>
      <c r="K1" s="597"/>
      <c r="L1" s="597"/>
      <c r="M1" s="597"/>
      <c r="N1" s="597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701" t="s">
        <v>294</v>
      </c>
      <c r="B4" s="701"/>
      <c r="C4" s="701"/>
      <c r="D4" s="701"/>
      <c r="E4" s="701"/>
      <c r="F4" s="701"/>
      <c r="G4" s="701"/>
      <c r="H4" s="701"/>
      <c r="I4" s="597"/>
      <c r="J4" s="597"/>
      <c r="K4" s="597"/>
      <c r="L4" s="597"/>
      <c r="M4" s="597"/>
      <c r="N4" s="597"/>
    </row>
    <row r="5" spans="1:18" ht="6.75" customHeight="1"/>
    <row r="6" spans="1:18" ht="16.5">
      <c r="A6" s="686" t="str">
        <f>封面!$E$10&amp;封面!$H$10&amp;封面!$I$10&amp;封面!$J$10&amp;封面!$K$10&amp;封面!$O$10&amp;"日"</f>
        <v>中華民國114年4月30日</v>
      </c>
      <c r="B6" s="686"/>
      <c r="C6" s="686"/>
      <c r="D6" s="686"/>
      <c r="E6" s="686"/>
      <c r="F6" s="686"/>
      <c r="G6" s="686"/>
      <c r="H6" s="686"/>
      <c r="I6" s="597"/>
      <c r="J6" s="597"/>
      <c r="K6" s="597"/>
      <c r="L6" s="597"/>
      <c r="M6" s="597"/>
      <c r="N6" s="597"/>
    </row>
    <row r="7" spans="1:18" ht="16.5">
      <c r="A7" s="638" t="s">
        <v>39</v>
      </c>
      <c r="B7" s="638"/>
      <c r="C7" s="638"/>
      <c r="D7" s="638"/>
      <c r="E7" s="638"/>
      <c r="F7" s="638"/>
      <c r="G7" s="638"/>
      <c r="H7" s="638"/>
      <c r="I7" s="597"/>
      <c r="J7" s="597"/>
      <c r="K7" s="597"/>
      <c r="L7" s="597"/>
      <c r="M7" s="597"/>
      <c r="N7" s="597"/>
    </row>
    <row r="8" spans="1:18" ht="6" hidden="1" customHeight="1"/>
    <row r="9" spans="1:18" s="301" customFormat="1" ht="21" customHeight="1">
      <c r="A9" s="747" t="s">
        <v>291</v>
      </c>
      <c r="B9" s="748"/>
      <c r="C9" s="748"/>
      <c r="D9" s="748"/>
      <c r="E9" s="748"/>
      <c r="F9" s="747" t="s">
        <v>194</v>
      </c>
      <c r="G9" s="748"/>
      <c r="H9" s="748"/>
      <c r="I9" s="748"/>
      <c r="J9" s="748"/>
      <c r="K9" s="748"/>
      <c r="L9" s="748"/>
      <c r="M9" s="748"/>
      <c r="N9" s="748"/>
      <c r="O9" s="300"/>
      <c r="P9" s="300"/>
      <c r="Q9" s="300"/>
      <c r="R9" s="300"/>
    </row>
    <row r="10" spans="1:18" s="301" customFormat="1" ht="21" customHeight="1">
      <c r="A10" s="748"/>
      <c r="B10" s="748"/>
      <c r="C10" s="748"/>
      <c r="D10" s="748"/>
      <c r="E10" s="748"/>
      <c r="F10" s="744" t="s">
        <v>292</v>
      </c>
      <c r="G10" s="745"/>
      <c r="H10" s="745"/>
      <c r="I10" s="746"/>
      <c r="J10" s="751" t="s">
        <v>293</v>
      </c>
      <c r="K10" s="751"/>
      <c r="L10" s="751"/>
      <c r="M10" s="751"/>
      <c r="N10" s="751"/>
    </row>
    <row r="11" spans="1:18" s="294" customFormat="1" ht="12.75" hidden="1" customHeight="1">
      <c r="A11" s="85"/>
      <c r="B11" s="69"/>
      <c r="C11" s="69"/>
      <c r="D11" s="69"/>
      <c r="E11" s="69"/>
      <c r="F11" s="3"/>
      <c r="G11" s="3"/>
      <c r="H11" s="292"/>
      <c r="I11" s="299"/>
      <c r="J11" s="302"/>
      <c r="K11" s="302"/>
      <c r="L11" s="302"/>
      <c r="M11" s="302"/>
      <c r="N11" s="303"/>
    </row>
    <row r="12" spans="1:18" s="294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2"/>
      <c r="K12" s="302"/>
      <c r="L12" s="302"/>
      <c r="M12" s="302"/>
      <c r="N12" s="303"/>
    </row>
    <row r="13" spans="1:18" s="294" customFormat="1" ht="9" hidden="1" customHeight="1">
      <c r="A13" s="85"/>
      <c r="B13" s="69"/>
      <c r="C13" s="334"/>
      <c r="D13" s="334"/>
      <c r="E13" s="334"/>
      <c r="F13" s="3"/>
      <c r="G13" s="3"/>
      <c r="H13" s="10"/>
      <c r="I13" s="10"/>
      <c r="J13" s="302"/>
      <c r="K13" s="302"/>
      <c r="L13" s="302"/>
      <c r="M13" s="302"/>
      <c r="N13" s="303"/>
    </row>
    <row r="14" spans="1:18" s="443" customFormat="1" ht="14.25">
      <c r="A14" s="749" t="s">
        <v>374</v>
      </c>
      <c r="B14" s="750"/>
      <c r="C14" s="750"/>
      <c r="D14" s="750"/>
      <c r="E14" s="436"/>
      <c r="F14" s="437"/>
      <c r="G14" s="438"/>
      <c r="H14" s="438"/>
      <c r="I14" s="439">
        <f>SUM(I15:I26)/2</f>
        <v>9874340</v>
      </c>
      <c r="J14" s="440"/>
      <c r="K14" s="441"/>
      <c r="L14" s="441"/>
      <c r="M14" s="442"/>
      <c r="N14" s="439">
        <f>I14+[1]收支!$N14</f>
        <v>56376436</v>
      </c>
    </row>
    <row r="15" spans="1:18" s="443" customFormat="1" ht="14.25">
      <c r="A15" s="444"/>
      <c r="B15" s="742" t="s">
        <v>375</v>
      </c>
      <c r="C15" s="742"/>
      <c r="D15" s="742"/>
      <c r="E15" s="743"/>
      <c r="F15" s="445"/>
      <c r="G15" s="446"/>
      <c r="H15" s="446"/>
      <c r="I15" s="447">
        <f>I16</f>
        <v>0</v>
      </c>
      <c r="J15" s="448"/>
      <c r="K15" s="449"/>
      <c r="L15" s="449"/>
      <c r="M15" s="450"/>
      <c r="N15" s="447">
        <f>I15+[1]收支!$N15</f>
        <v>143644</v>
      </c>
    </row>
    <row r="16" spans="1:18" s="459" customFormat="1" ht="14.25">
      <c r="A16" s="451"/>
      <c r="B16" s="452"/>
      <c r="C16" s="324" t="s">
        <v>376</v>
      </c>
      <c r="D16" s="324"/>
      <c r="E16" s="325"/>
      <c r="F16" s="453"/>
      <c r="G16" s="454"/>
      <c r="H16" s="454"/>
      <c r="I16" s="455"/>
      <c r="J16" s="456"/>
      <c r="K16" s="457"/>
      <c r="L16" s="457"/>
      <c r="M16" s="458"/>
      <c r="N16" s="455">
        <f>I16+[1]收支!$N16</f>
        <v>143644</v>
      </c>
    </row>
    <row r="17" spans="1:14" s="443" customFormat="1" ht="14.25">
      <c r="A17" s="460"/>
      <c r="B17" s="742" t="s">
        <v>312</v>
      </c>
      <c r="C17" s="742"/>
      <c r="D17" s="742"/>
      <c r="E17" s="743"/>
      <c r="F17" s="445"/>
      <c r="G17" s="446"/>
      <c r="H17" s="446"/>
      <c r="I17" s="447">
        <f>SUM(I18:I21)</f>
        <v>154651</v>
      </c>
      <c r="J17" s="448"/>
      <c r="K17" s="449"/>
      <c r="L17" s="449"/>
      <c r="M17" s="450"/>
      <c r="N17" s="447">
        <f>I17+[1]收支!$N17</f>
        <v>649103</v>
      </c>
    </row>
    <row r="18" spans="1:14" s="464" customFormat="1" ht="14.25" hidden="1">
      <c r="A18" s="461"/>
      <c r="B18" s="452"/>
      <c r="C18" s="324" t="s">
        <v>419</v>
      </c>
      <c r="D18" s="452"/>
      <c r="E18" s="462"/>
      <c r="F18" s="453"/>
      <c r="G18" s="454"/>
      <c r="H18" s="454"/>
      <c r="I18" s="463"/>
      <c r="J18" s="456"/>
      <c r="K18" s="457"/>
      <c r="L18" s="457"/>
      <c r="M18" s="458"/>
      <c r="N18" s="455">
        <f>I18+[1]收支!$N18</f>
        <v>0</v>
      </c>
    </row>
    <row r="19" spans="1:14" s="459" customFormat="1" ht="14.25">
      <c r="A19" s="461"/>
      <c r="B19" s="452"/>
      <c r="C19" s="324" t="s">
        <v>377</v>
      </c>
      <c r="D19" s="324"/>
      <c r="E19" s="325"/>
      <c r="F19" s="453"/>
      <c r="G19" s="454"/>
      <c r="H19" s="454"/>
      <c r="I19" s="455">
        <v>120</v>
      </c>
      <c r="J19" s="456"/>
      <c r="K19" s="457"/>
      <c r="L19" s="457"/>
      <c r="M19" s="458"/>
      <c r="N19" s="455">
        <f>I19+[1]收支!$N19</f>
        <v>880</v>
      </c>
    </row>
    <row r="20" spans="1:14" s="459" customFormat="1" ht="14.25">
      <c r="A20" s="461"/>
      <c r="B20" s="452"/>
      <c r="C20" s="324" t="s">
        <v>378</v>
      </c>
      <c r="D20" s="324"/>
      <c r="E20" s="325"/>
      <c r="F20" s="453"/>
      <c r="G20" s="454"/>
      <c r="H20" s="454"/>
      <c r="I20" s="455">
        <v>503</v>
      </c>
      <c r="J20" s="456"/>
      <c r="K20" s="457"/>
      <c r="L20" s="457"/>
      <c r="M20" s="458"/>
      <c r="N20" s="455">
        <f>I20+[1]收支!$N20</f>
        <v>98225</v>
      </c>
    </row>
    <row r="21" spans="1:14" s="459" customFormat="1" ht="14.25">
      <c r="A21" s="461"/>
      <c r="B21" s="452"/>
      <c r="C21" s="324" t="s">
        <v>379</v>
      </c>
      <c r="D21" s="324"/>
      <c r="E21" s="325"/>
      <c r="F21" s="453"/>
      <c r="G21" s="454"/>
      <c r="H21" s="454"/>
      <c r="I21" s="455">
        <v>154028</v>
      </c>
      <c r="J21" s="456"/>
      <c r="K21" s="457"/>
      <c r="L21" s="457"/>
      <c r="M21" s="458"/>
      <c r="N21" s="455">
        <f>I21+[1]收支!$N21</f>
        <v>549998</v>
      </c>
    </row>
    <row r="22" spans="1:14" s="466" customFormat="1" ht="14.25">
      <c r="A22" s="465"/>
      <c r="B22" s="742" t="s">
        <v>380</v>
      </c>
      <c r="C22" s="742"/>
      <c r="D22" s="742"/>
      <c r="E22" s="743"/>
      <c r="F22" s="445"/>
      <c r="G22" s="446"/>
      <c r="H22" s="446"/>
      <c r="I22" s="447">
        <f>I23</f>
        <v>9719255</v>
      </c>
      <c r="J22" s="448"/>
      <c r="K22" s="449"/>
      <c r="L22" s="449"/>
      <c r="M22" s="450"/>
      <c r="N22" s="447">
        <f>I22+[1]收支!$N22</f>
        <v>55583255</v>
      </c>
    </row>
    <row r="23" spans="1:14" s="471" customFormat="1" ht="14.25">
      <c r="A23" s="467"/>
      <c r="B23" s="49"/>
      <c r="C23" s="468" t="s">
        <v>381</v>
      </c>
      <c r="D23" s="468"/>
      <c r="E23" s="469"/>
      <c r="F23" s="467"/>
      <c r="G23"/>
      <c r="H23"/>
      <c r="I23" s="470">
        <v>9719255</v>
      </c>
      <c r="J23" s="461"/>
      <c r="K23" s="49"/>
      <c r="L23" s="49"/>
      <c r="M23" s="113"/>
      <c r="N23" s="470">
        <f>I23+[1]收支!$N23</f>
        <v>55583255</v>
      </c>
    </row>
    <row r="24" spans="1:14" s="466" customFormat="1" ht="14.25">
      <c r="A24" s="465"/>
      <c r="B24" s="472" t="s">
        <v>382</v>
      </c>
      <c r="C24" s="473"/>
      <c r="D24" s="473"/>
      <c r="E24" s="474"/>
      <c r="F24" s="465"/>
      <c r="G24" s="475"/>
      <c r="H24" s="475"/>
      <c r="I24" s="476">
        <f>SUM(I25:I26)</f>
        <v>434</v>
      </c>
      <c r="J24" s="460"/>
      <c r="K24" s="472"/>
      <c r="L24" s="472"/>
      <c r="M24" s="477"/>
      <c r="N24" s="476">
        <f>I24+[1]收支!$N24</f>
        <v>434</v>
      </c>
    </row>
    <row r="25" spans="1:14" s="466" customFormat="1" ht="14.25" hidden="1">
      <c r="A25" s="467"/>
      <c r="B25" s="49"/>
      <c r="C25" s="468" t="s">
        <v>471</v>
      </c>
      <c r="D25" s="537"/>
      <c r="E25" s="538"/>
      <c r="F25" s="467"/>
      <c r="G25"/>
      <c r="H25"/>
      <c r="I25" s="539"/>
      <c r="J25" s="461"/>
      <c r="K25" s="49"/>
      <c r="L25" s="49"/>
      <c r="M25" s="113"/>
      <c r="N25" s="470">
        <f>I25+[1]收支!$N25</f>
        <v>0</v>
      </c>
    </row>
    <row r="26" spans="1:14" s="471" customFormat="1" ht="14.25">
      <c r="A26" s="467"/>
      <c r="B26" s="49"/>
      <c r="C26" s="468" t="s">
        <v>367</v>
      </c>
      <c r="D26" s="468"/>
      <c r="E26" s="469"/>
      <c r="F26" s="467"/>
      <c r="G26"/>
      <c r="H26"/>
      <c r="I26" s="470">
        <v>434</v>
      </c>
      <c r="J26" s="461"/>
      <c r="K26" s="49"/>
      <c r="L26" s="49"/>
      <c r="M26" s="113"/>
      <c r="N26" s="470">
        <f>I26+[1]收支!$N26</f>
        <v>434</v>
      </c>
    </row>
    <row r="27" spans="1:14" s="466" customFormat="1" ht="14.25">
      <c r="A27" s="756" t="s">
        <v>313</v>
      </c>
      <c r="B27" s="742"/>
      <c r="C27" s="742"/>
      <c r="D27" s="742"/>
      <c r="E27" s="478"/>
      <c r="F27" s="445"/>
      <c r="G27" s="446"/>
      <c r="H27" s="446"/>
      <c r="I27" s="447">
        <f>SUM(I28:I38)/2</f>
        <v>10469340</v>
      </c>
      <c r="J27" s="448"/>
      <c r="K27" s="449"/>
      <c r="L27" s="449"/>
      <c r="M27" s="450"/>
      <c r="N27" s="447">
        <f>I27+[1]收支!$N27</f>
        <v>60061029</v>
      </c>
    </row>
    <row r="28" spans="1:14" s="466" customFormat="1" ht="14.25">
      <c r="A28" s="465"/>
      <c r="B28" s="742" t="s">
        <v>383</v>
      </c>
      <c r="C28" s="742"/>
      <c r="D28" s="742"/>
      <c r="E28" s="743"/>
      <c r="F28" s="445"/>
      <c r="G28" s="446"/>
      <c r="H28" s="446"/>
      <c r="I28" s="447">
        <f>I29</f>
        <v>9217459</v>
      </c>
      <c r="J28" s="448"/>
      <c r="K28" s="449"/>
      <c r="L28" s="449"/>
      <c r="M28" s="450"/>
      <c r="N28" s="447">
        <f>I28+[1]收支!$N28</f>
        <v>54898259</v>
      </c>
    </row>
    <row r="29" spans="1:14" s="471" customFormat="1" ht="14.25">
      <c r="A29" s="467"/>
      <c r="B29" s="452"/>
      <c r="C29" s="324" t="s">
        <v>383</v>
      </c>
      <c r="D29" s="324"/>
      <c r="E29" s="325"/>
      <c r="F29" s="453"/>
      <c r="G29" s="454"/>
      <c r="H29" s="454"/>
      <c r="I29" s="455">
        <v>9217459</v>
      </c>
      <c r="J29" s="456"/>
      <c r="K29" s="457"/>
      <c r="L29" s="457"/>
      <c r="M29" s="458"/>
      <c r="N29" s="455">
        <f>I29+[1]收支!$N29</f>
        <v>54898259</v>
      </c>
    </row>
    <row r="30" spans="1:14" s="466" customFormat="1" ht="14.25">
      <c r="A30" s="465"/>
      <c r="B30" s="742" t="s">
        <v>384</v>
      </c>
      <c r="C30" s="742"/>
      <c r="D30" s="742"/>
      <c r="E30" s="743"/>
      <c r="F30" s="445"/>
      <c r="G30" s="446"/>
      <c r="H30" s="446"/>
      <c r="I30" s="447">
        <f>I31</f>
        <v>266057</v>
      </c>
      <c r="J30" s="448"/>
      <c r="K30" s="449"/>
      <c r="L30" s="449"/>
      <c r="M30" s="450"/>
      <c r="N30" s="447">
        <f>I30+[1]收支!$N30</f>
        <v>1165352</v>
      </c>
    </row>
    <row r="31" spans="1:14" s="471" customFormat="1" ht="14.25">
      <c r="A31" s="467"/>
      <c r="B31" s="452"/>
      <c r="C31" s="324" t="s">
        <v>384</v>
      </c>
      <c r="D31" s="324"/>
      <c r="E31" s="325"/>
      <c r="F31" s="453"/>
      <c r="G31" s="454"/>
      <c r="H31" s="454"/>
      <c r="I31" s="455">
        <v>266057</v>
      </c>
      <c r="J31" s="456"/>
      <c r="K31" s="457"/>
      <c r="L31" s="457"/>
      <c r="M31" s="458"/>
      <c r="N31" s="455">
        <f>I31+[1]收支!$N31</f>
        <v>1165352</v>
      </c>
    </row>
    <row r="32" spans="1:14" s="466" customFormat="1" ht="14.25">
      <c r="A32" s="465"/>
      <c r="B32" s="479" t="s">
        <v>385</v>
      </c>
      <c r="C32" s="480"/>
      <c r="D32" s="480"/>
      <c r="E32" s="481"/>
      <c r="F32" s="445"/>
      <c r="G32" s="446"/>
      <c r="H32" s="446"/>
      <c r="I32" s="447">
        <f>I33</f>
        <v>146</v>
      </c>
      <c r="J32" s="448"/>
      <c r="K32" s="449"/>
      <c r="L32" s="449"/>
      <c r="M32" s="450"/>
      <c r="N32" s="447">
        <f>I32+[1]收支!$N32</f>
        <v>2745</v>
      </c>
    </row>
    <row r="33" spans="1:14" s="471" customFormat="1" ht="14.25">
      <c r="A33" s="467"/>
      <c r="B33" s="452"/>
      <c r="C33" s="324" t="s">
        <v>386</v>
      </c>
      <c r="D33" s="324"/>
      <c r="E33" s="325"/>
      <c r="F33" s="453"/>
      <c r="G33" s="454"/>
      <c r="H33" s="454"/>
      <c r="I33" s="455">
        <v>146</v>
      </c>
      <c r="J33" s="456"/>
      <c r="K33" s="457"/>
      <c r="L33" s="457"/>
      <c r="M33" s="458"/>
      <c r="N33" s="455">
        <f>I33+[1]收支!$N33</f>
        <v>2745</v>
      </c>
    </row>
    <row r="34" spans="1:14" s="466" customFormat="1" ht="14.25">
      <c r="A34" s="465"/>
      <c r="B34" s="742" t="s">
        <v>387</v>
      </c>
      <c r="C34" s="742"/>
      <c r="D34" s="742"/>
      <c r="E34" s="743"/>
      <c r="F34" s="445"/>
      <c r="G34" s="446"/>
      <c r="H34" s="446"/>
      <c r="I34" s="447">
        <f>I35+I36</f>
        <v>985678</v>
      </c>
      <c r="J34" s="448"/>
      <c r="K34" s="449"/>
      <c r="L34" s="449"/>
      <c r="M34" s="450"/>
      <c r="N34" s="447">
        <f>I34+[1]收支!$N34</f>
        <v>3974073</v>
      </c>
    </row>
    <row r="35" spans="1:14" s="471" customFormat="1" ht="14.25">
      <c r="A35" s="467"/>
      <c r="B35" s="49"/>
      <c r="C35" s="468" t="s">
        <v>388</v>
      </c>
      <c r="D35" s="468"/>
      <c r="E35" s="469"/>
      <c r="F35" s="467"/>
      <c r="G35"/>
      <c r="H35"/>
      <c r="I35" s="455">
        <v>979375</v>
      </c>
      <c r="J35" s="461"/>
      <c r="K35" s="49"/>
      <c r="L35" s="49"/>
      <c r="M35" s="113"/>
      <c r="N35" s="455">
        <f>I35+[1]收支!$N35</f>
        <v>3948861</v>
      </c>
    </row>
    <row r="36" spans="1:14" s="471" customFormat="1" ht="14.25">
      <c r="A36" s="467"/>
      <c r="B36" s="49"/>
      <c r="C36" s="468" t="s">
        <v>449</v>
      </c>
      <c r="D36" s="468"/>
      <c r="E36" s="469"/>
      <c r="F36" s="467"/>
      <c r="G36"/>
      <c r="H36"/>
      <c r="I36" s="455">
        <v>6303</v>
      </c>
      <c r="J36" s="461"/>
      <c r="K36" s="49"/>
      <c r="L36" s="49"/>
      <c r="M36" s="113"/>
      <c r="N36" s="455">
        <f>I36+[1]收支!$N36</f>
        <v>25212</v>
      </c>
    </row>
    <row r="37" spans="1:14" s="466" customFormat="1" ht="14.25">
      <c r="A37" s="465"/>
      <c r="B37" s="472" t="s">
        <v>389</v>
      </c>
      <c r="C37" s="473"/>
      <c r="D37" s="473"/>
      <c r="E37" s="474"/>
      <c r="F37" s="465"/>
      <c r="G37" s="475"/>
      <c r="H37" s="475"/>
      <c r="I37" s="447">
        <f>I38</f>
        <v>0</v>
      </c>
      <c r="J37" s="460"/>
      <c r="K37" s="472"/>
      <c r="L37" s="472"/>
      <c r="M37" s="477"/>
      <c r="N37" s="447">
        <f>I37+[1]收支!$N37</f>
        <v>20600</v>
      </c>
    </row>
    <row r="38" spans="1:14" s="471" customFormat="1" ht="14.25">
      <c r="A38" s="467"/>
      <c r="B38" s="49"/>
      <c r="C38" s="468" t="s">
        <v>389</v>
      </c>
      <c r="D38" s="468"/>
      <c r="E38" s="469"/>
      <c r="F38" s="467"/>
      <c r="G38"/>
      <c r="H38"/>
      <c r="I38" s="455"/>
      <c r="J38" s="461"/>
      <c r="K38" s="49"/>
      <c r="L38" s="49"/>
      <c r="M38" s="113"/>
      <c r="N38" s="455">
        <f>I38+[1]收支!$N38</f>
        <v>20600</v>
      </c>
    </row>
    <row r="39" spans="1:14" s="466" customFormat="1" ht="14.25">
      <c r="A39" s="757" t="s">
        <v>390</v>
      </c>
      <c r="B39" s="758"/>
      <c r="C39" s="759"/>
      <c r="D39" s="759"/>
      <c r="E39" s="478"/>
      <c r="F39" s="445"/>
      <c r="G39" s="446"/>
      <c r="H39" s="446"/>
      <c r="I39" s="447">
        <f>I14-I27</f>
        <v>-595000</v>
      </c>
      <c r="J39" s="448"/>
      <c r="K39" s="449"/>
      <c r="L39" s="449"/>
      <c r="M39" s="450"/>
      <c r="N39" s="447">
        <f>I39+[1]收支!$N39</f>
        <v>-3684593</v>
      </c>
    </row>
    <row r="40" spans="1:14" s="471" customFormat="1" ht="14.25">
      <c r="A40" s="752" t="s">
        <v>314</v>
      </c>
      <c r="B40" s="753"/>
      <c r="C40" s="753"/>
      <c r="D40" s="753"/>
      <c r="E40" s="482"/>
      <c r="F40" s="483"/>
      <c r="G40" s="484"/>
      <c r="H40" s="485"/>
      <c r="I40" s="455"/>
      <c r="J40" s="456"/>
      <c r="K40" s="457"/>
      <c r="L40" s="457"/>
      <c r="M40" s="458"/>
      <c r="N40" s="486">
        <f>[2]收支!$N43</f>
        <v>343110363</v>
      </c>
    </row>
    <row r="41" spans="1:14" s="471" customFormat="1" ht="14.25">
      <c r="A41" s="752" t="s">
        <v>315</v>
      </c>
      <c r="B41" s="753"/>
      <c r="C41" s="753"/>
      <c r="D41" s="753"/>
      <c r="E41" s="482"/>
      <c r="F41" s="487"/>
      <c r="G41" s="484"/>
      <c r="H41" s="488"/>
      <c r="I41" s="455"/>
      <c r="J41" s="461"/>
      <c r="K41" s="49"/>
      <c r="L41" s="49"/>
      <c r="M41" s="113"/>
      <c r="N41" s="455">
        <f>I41+[1]收支!$N$41</f>
        <v>0</v>
      </c>
    </row>
    <row r="42" spans="1:14" s="471" customFormat="1" ht="14.25">
      <c r="A42" s="752" t="s">
        <v>438</v>
      </c>
      <c r="B42" s="753"/>
      <c r="C42" s="753"/>
      <c r="D42" s="753"/>
      <c r="E42" s="482"/>
      <c r="F42" s="487"/>
      <c r="G42" s="484"/>
      <c r="H42" s="488"/>
      <c r="I42" s="455"/>
      <c r="J42" s="461"/>
      <c r="K42" s="49"/>
      <c r="L42" s="49"/>
      <c r="M42" s="113"/>
      <c r="N42" s="455">
        <f>VLOOKUP(A42,[1]平衡!$N$13:T83,7,0)</f>
        <v>0</v>
      </c>
    </row>
    <row r="43" spans="1:14" s="471" customFormat="1" ht="14.25">
      <c r="A43" s="754" t="s">
        <v>391</v>
      </c>
      <c r="B43" s="755"/>
      <c r="C43" s="755"/>
      <c r="D43" s="755"/>
      <c r="E43" s="489"/>
      <c r="F43" s="490"/>
      <c r="G43" s="491"/>
      <c r="H43" s="492"/>
      <c r="I43" s="493"/>
      <c r="J43" s="494"/>
      <c r="K43" s="495"/>
      <c r="L43" s="495"/>
      <c r="M43" s="496"/>
      <c r="N43" s="497">
        <f>N39+N40-N41+N42</f>
        <v>339425770</v>
      </c>
    </row>
    <row r="44" spans="1:14" s="378" customFormat="1" ht="12.75" hidden="1" customHeight="1">
      <c r="A44" s="306"/>
      <c r="B44" s="306"/>
      <c r="C44" s="306"/>
      <c r="D44" s="306"/>
      <c r="E44" s="379"/>
      <c r="F44" s="379"/>
      <c r="G44" s="379"/>
      <c r="H44" s="379"/>
      <c r="I44" s="379">
        <v>0</v>
      </c>
    </row>
    <row r="45" spans="1:14" s="379" customFormat="1" ht="16.5">
      <c r="A45" s="306" t="s">
        <v>392</v>
      </c>
      <c r="B45" s="306" t="s">
        <v>437</v>
      </c>
      <c r="C45" s="306"/>
      <c r="D45" s="306"/>
    </row>
  </sheetData>
  <mergeCells count="21"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J11" sqref="J11"/>
      <selection pane="topRight" activeCell="J11" sqref="J11"/>
      <selection pane="bottomLeft" activeCell="J11" sqref="J11"/>
      <selection pane="bottomRight" activeCell="J11" sqref="J11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85" t="str">
        <f>封面!$A$4</f>
        <v>彰化縣地方教育發展基金－彰化縣彰化市民生國民小學</v>
      </c>
      <c r="B1" s="685"/>
      <c r="C1" s="685"/>
      <c r="D1" s="685"/>
      <c r="E1" s="685"/>
      <c r="F1" s="685"/>
      <c r="G1" s="597"/>
      <c r="H1" s="597"/>
      <c r="I1" s="597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701" t="s">
        <v>295</v>
      </c>
      <c r="B4" s="701"/>
      <c r="C4" s="701"/>
      <c r="D4" s="701"/>
      <c r="E4" s="701"/>
      <c r="F4" s="701"/>
      <c r="G4" s="597"/>
      <c r="H4" s="597"/>
      <c r="I4" s="597"/>
    </row>
    <row r="5" spans="1:10" ht="6.75" customHeight="1"/>
    <row r="6" spans="1:10" ht="16.5">
      <c r="A6" s="686" t="str">
        <f>封面!$E$10&amp;封面!$H$10&amp;封面!$I$10&amp;封面!$J$10&amp;封面!$K$10&amp;封面!L10</f>
        <v>中華民國114年4月份</v>
      </c>
      <c r="B6" s="686"/>
      <c r="C6" s="686"/>
      <c r="D6" s="686"/>
      <c r="E6" s="686"/>
      <c r="F6" s="686"/>
      <c r="G6" s="597"/>
      <c r="H6" s="597"/>
      <c r="I6" s="597"/>
    </row>
    <row r="7" spans="1:10" ht="16.5">
      <c r="A7" s="638" t="s">
        <v>39</v>
      </c>
      <c r="B7" s="638"/>
      <c r="C7" s="638"/>
      <c r="D7" s="638"/>
      <c r="E7" s="638"/>
      <c r="F7" s="638"/>
      <c r="G7" s="597"/>
      <c r="H7" s="597"/>
      <c r="I7" s="597"/>
    </row>
    <row r="8" spans="1:10" ht="6" customHeight="1"/>
    <row r="9" spans="1:10" s="307" customFormat="1" ht="42.75" customHeight="1">
      <c r="A9" s="748" t="s">
        <v>296</v>
      </c>
      <c r="B9" s="748"/>
      <c r="C9" s="308" t="s">
        <v>297</v>
      </c>
      <c r="D9" s="309" t="s">
        <v>298</v>
      </c>
      <c r="E9" s="309" t="s">
        <v>299</v>
      </c>
      <c r="F9" s="309"/>
      <c r="G9" s="748" t="s">
        <v>300</v>
      </c>
      <c r="H9" s="726"/>
      <c r="I9" s="726"/>
    </row>
    <row r="10" spans="1:10" s="294" customFormat="1" ht="12.75" hidden="1" customHeight="1">
      <c r="A10" s="310"/>
      <c r="B10" s="310"/>
      <c r="C10" s="310"/>
      <c r="D10" s="310"/>
      <c r="E10" s="291"/>
      <c r="F10" s="291"/>
      <c r="G10" s="763" t="s">
        <v>300</v>
      </c>
      <c r="H10" s="722"/>
      <c r="I10" s="722"/>
    </row>
    <row r="11" spans="1:10" s="294" customFormat="1" ht="12.75" hidden="1" customHeight="1">
      <c r="A11" s="310"/>
      <c r="B11" s="310"/>
      <c r="C11" s="310"/>
      <c r="D11" s="310"/>
      <c r="E11" s="310"/>
      <c r="F11" s="310"/>
      <c r="G11" s="763" t="s">
        <v>300</v>
      </c>
      <c r="H11" s="722"/>
      <c r="I11" s="722"/>
    </row>
    <row r="12" spans="1:10" s="294" customFormat="1" ht="9" hidden="1" customHeight="1">
      <c r="A12" s="310"/>
      <c r="B12" s="310"/>
      <c r="C12" s="310"/>
      <c r="D12" s="310"/>
      <c r="E12" s="310"/>
      <c r="F12" s="310"/>
      <c r="G12" s="763" t="s">
        <v>300</v>
      </c>
      <c r="H12" s="722"/>
      <c r="I12" s="722"/>
    </row>
    <row r="13" spans="1:10" s="378" customFormat="1" ht="16.5">
      <c r="A13" s="765" t="s">
        <v>393</v>
      </c>
      <c r="B13" s="765"/>
      <c r="C13" s="368">
        <f>SUM(C14:C17)</f>
        <v>55728716</v>
      </c>
      <c r="D13" s="368">
        <f t="shared" ref="D13:E13" si="0">SUM(D14:D17)</f>
        <v>647720</v>
      </c>
      <c r="E13" s="368">
        <f t="shared" si="0"/>
        <v>56376436</v>
      </c>
      <c r="F13" s="311"/>
      <c r="G13" s="761" t="s">
        <v>394</v>
      </c>
      <c r="H13" s="764"/>
      <c r="I13" s="762"/>
      <c r="J13" s="378">
        <f>D13</f>
        <v>647720</v>
      </c>
    </row>
    <row r="14" spans="1:10" s="378" customFormat="1" ht="16.5">
      <c r="A14" s="304"/>
      <c r="B14" s="377" t="s">
        <v>395</v>
      </c>
      <c r="C14" s="362">
        <v>143644</v>
      </c>
      <c r="D14" s="362"/>
      <c r="E14" s="369">
        <f>C14+D14</f>
        <v>143644</v>
      </c>
      <c r="F14" s="311"/>
      <c r="G14" s="305"/>
      <c r="H14" s="764" t="s">
        <v>395</v>
      </c>
      <c r="I14" s="762"/>
      <c r="J14" s="378">
        <f t="shared" ref="J14:J33" si="1">D14</f>
        <v>0</v>
      </c>
    </row>
    <row r="15" spans="1:10" s="378" customFormat="1" ht="16.5">
      <c r="A15" s="304"/>
      <c r="B15" s="377" t="s">
        <v>396</v>
      </c>
      <c r="C15" s="362">
        <v>1383</v>
      </c>
      <c r="D15" s="362">
        <v>647720</v>
      </c>
      <c r="E15" s="369">
        <f t="shared" ref="E15:E16" si="2">C15+D15</f>
        <v>649103</v>
      </c>
      <c r="F15" s="311"/>
      <c r="G15" s="305"/>
      <c r="H15" s="764" t="s">
        <v>397</v>
      </c>
      <c r="I15" s="762"/>
      <c r="J15" s="378">
        <f t="shared" si="1"/>
        <v>647720</v>
      </c>
    </row>
    <row r="16" spans="1:10" s="378" customFormat="1" ht="16.5">
      <c r="A16" s="304"/>
      <c r="B16" s="377" t="s">
        <v>398</v>
      </c>
      <c r="C16" s="362">
        <v>55583255</v>
      </c>
      <c r="D16" s="362"/>
      <c r="E16" s="369">
        <f t="shared" si="2"/>
        <v>55583255</v>
      </c>
      <c r="F16" s="311"/>
      <c r="G16" s="305"/>
      <c r="H16" s="764" t="s">
        <v>20</v>
      </c>
      <c r="I16" s="762"/>
      <c r="J16" s="378">
        <f t="shared" si="1"/>
        <v>0</v>
      </c>
    </row>
    <row r="17" spans="1:10" s="379" customFormat="1" ht="16.5">
      <c r="A17" s="304"/>
      <c r="B17" s="377" t="s">
        <v>399</v>
      </c>
      <c r="C17" s="362">
        <v>434</v>
      </c>
      <c r="D17" s="362"/>
      <c r="E17" s="369">
        <f>C17+D17</f>
        <v>434</v>
      </c>
      <c r="F17" s="311"/>
      <c r="G17" s="305"/>
      <c r="H17" s="764" t="s">
        <v>400</v>
      </c>
      <c r="I17" s="762"/>
      <c r="J17" s="378">
        <f t="shared" si="1"/>
        <v>0</v>
      </c>
    </row>
    <row r="18" spans="1:10" s="379" customFormat="1" ht="16.5">
      <c r="A18" s="761" t="s">
        <v>401</v>
      </c>
      <c r="B18" s="762"/>
      <c r="C18" s="370">
        <f>SUM(C19:C28)</f>
        <v>56084211</v>
      </c>
      <c r="D18" s="370">
        <f>SUM(D19:D28)</f>
        <v>3976818</v>
      </c>
      <c r="E18" s="370">
        <f>SUM(E19:E28)</f>
        <v>60061029</v>
      </c>
      <c r="F18" s="312"/>
      <c r="G18" s="761" t="s">
        <v>402</v>
      </c>
      <c r="H18" s="764"/>
      <c r="I18" s="762"/>
      <c r="J18" s="378">
        <f t="shared" si="1"/>
        <v>3976818</v>
      </c>
    </row>
    <row r="19" spans="1:10" s="379" customFormat="1" ht="16.5">
      <c r="A19" s="304"/>
      <c r="B19" s="377" t="s">
        <v>403</v>
      </c>
      <c r="C19" s="362">
        <v>54898259</v>
      </c>
      <c r="D19" s="362"/>
      <c r="E19" s="369">
        <f>C19+D19</f>
        <v>54898259</v>
      </c>
      <c r="F19" s="311"/>
      <c r="G19" s="305"/>
      <c r="H19" s="764" t="s">
        <v>404</v>
      </c>
      <c r="I19" s="762"/>
      <c r="J19" s="378">
        <f t="shared" si="1"/>
        <v>0</v>
      </c>
    </row>
    <row r="20" spans="1:10" s="379" customFormat="1" ht="16.5">
      <c r="A20" s="304"/>
      <c r="B20" s="377" t="s">
        <v>405</v>
      </c>
      <c r="C20" s="362">
        <v>999142</v>
      </c>
      <c r="D20" s="362">
        <v>166210</v>
      </c>
      <c r="E20" s="369">
        <f>C20+D20</f>
        <v>1165352</v>
      </c>
      <c r="F20" s="311"/>
      <c r="G20" s="305"/>
      <c r="H20" s="376" t="s">
        <v>406</v>
      </c>
      <c r="I20" s="377"/>
      <c r="J20" s="378"/>
    </row>
    <row r="21" spans="1:10" s="379" customFormat="1" ht="16.5">
      <c r="A21" s="304"/>
      <c r="B21" s="377" t="s">
        <v>407</v>
      </c>
      <c r="C21" s="362">
        <v>142310</v>
      </c>
      <c r="D21" s="362">
        <v>-142310</v>
      </c>
      <c r="E21" s="369">
        <f t="shared" ref="E21:E33" si="3">C21+D21</f>
        <v>0</v>
      </c>
      <c r="F21" s="311"/>
      <c r="G21" s="305"/>
      <c r="H21" s="376"/>
      <c r="I21" s="377"/>
      <c r="J21" s="378"/>
    </row>
    <row r="22" spans="1:10" s="379" customFormat="1" ht="16.5" hidden="1">
      <c r="A22" s="304"/>
      <c r="B22" s="377" t="s">
        <v>408</v>
      </c>
      <c r="C22" s="362"/>
      <c r="D22" s="362"/>
      <c r="E22" s="369">
        <f t="shared" si="3"/>
        <v>0</v>
      </c>
      <c r="F22" s="311"/>
      <c r="G22" s="305"/>
      <c r="H22" s="376"/>
      <c r="I22" s="377"/>
      <c r="J22" s="378"/>
    </row>
    <row r="23" spans="1:10" s="379" customFormat="1" ht="16.5" hidden="1">
      <c r="A23" s="304"/>
      <c r="B23" s="377" t="s">
        <v>409</v>
      </c>
      <c r="C23" s="362"/>
      <c r="D23" s="362"/>
      <c r="E23" s="369">
        <f t="shared" si="3"/>
        <v>0</v>
      </c>
      <c r="F23" s="311"/>
      <c r="G23" s="305"/>
      <c r="H23" s="376"/>
      <c r="I23" s="377"/>
      <c r="J23" s="378"/>
    </row>
    <row r="24" spans="1:10" s="379" customFormat="1" ht="33">
      <c r="A24" s="304"/>
      <c r="B24" s="377" t="s">
        <v>410</v>
      </c>
      <c r="C24" s="362">
        <v>23900</v>
      </c>
      <c r="D24" s="362">
        <v>-23900</v>
      </c>
      <c r="E24" s="369">
        <f t="shared" si="3"/>
        <v>0</v>
      </c>
      <c r="F24" s="311"/>
      <c r="G24" s="305"/>
      <c r="H24" s="376"/>
      <c r="I24" s="377"/>
      <c r="J24" s="378"/>
    </row>
    <row r="25" spans="1:10" s="379" customFormat="1" ht="16.5">
      <c r="A25" s="304"/>
      <c r="B25" s="377"/>
      <c r="C25" s="362"/>
      <c r="D25" s="362">
        <v>2745</v>
      </c>
      <c r="E25" s="369">
        <f t="shared" si="3"/>
        <v>2745</v>
      </c>
      <c r="F25" s="311"/>
      <c r="G25" s="305"/>
      <c r="H25" s="376" t="s">
        <v>411</v>
      </c>
      <c r="I25" s="377"/>
      <c r="J25" s="378"/>
    </row>
    <row r="26" spans="1:10" s="379" customFormat="1" ht="33" hidden="1">
      <c r="A26" s="304"/>
      <c r="B26" s="377" t="s">
        <v>450</v>
      </c>
      <c r="C26" s="362"/>
      <c r="D26" s="362"/>
      <c r="E26" s="369"/>
      <c r="F26" s="311"/>
      <c r="G26" s="305"/>
      <c r="H26" s="376"/>
      <c r="I26" s="377"/>
      <c r="J26" s="378"/>
    </row>
    <row r="27" spans="1:10" s="379" customFormat="1" ht="16.5">
      <c r="A27" s="304"/>
      <c r="B27" s="314"/>
      <c r="C27" s="362"/>
      <c r="D27" s="362">
        <v>3974073</v>
      </c>
      <c r="E27" s="369">
        <f t="shared" si="3"/>
        <v>3974073</v>
      </c>
      <c r="F27" s="311"/>
      <c r="G27" s="305"/>
      <c r="H27" s="764" t="s">
        <v>412</v>
      </c>
      <c r="I27" s="762"/>
      <c r="J27" s="378">
        <f t="shared" si="1"/>
        <v>3974073</v>
      </c>
    </row>
    <row r="28" spans="1:10" s="379" customFormat="1" ht="16.5">
      <c r="A28" s="304"/>
      <c r="B28" s="314" t="s">
        <v>413</v>
      </c>
      <c r="C28" s="362">
        <v>20600</v>
      </c>
      <c r="D28" s="362"/>
      <c r="E28" s="369">
        <f t="shared" si="3"/>
        <v>20600</v>
      </c>
      <c r="F28" s="311"/>
      <c r="G28" s="305"/>
      <c r="H28" s="376" t="s">
        <v>414</v>
      </c>
      <c r="I28" s="377"/>
      <c r="J28" s="378"/>
    </row>
    <row r="29" spans="1:10" s="379" customFormat="1" ht="16.5">
      <c r="A29" s="760" t="s">
        <v>316</v>
      </c>
      <c r="B29" s="760"/>
      <c r="C29" s="368">
        <f>C13-C18</f>
        <v>-355495</v>
      </c>
      <c r="D29" s="368">
        <f>D13-D18</f>
        <v>-3329098</v>
      </c>
      <c r="E29" s="368">
        <f>E13-E18</f>
        <v>-3684593</v>
      </c>
      <c r="F29" s="311"/>
      <c r="G29" s="766" t="s">
        <v>316</v>
      </c>
      <c r="H29" s="767"/>
      <c r="I29" s="768"/>
      <c r="J29" s="378">
        <f t="shared" si="1"/>
        <v>-3329098</v>
      </c>
    </row>
    <row r="30" spans="1:10" s="379" customFormat="1" ht="16.5">
      <c r="A30" s="760" t="s">
        <v>24</v>
      </c>
      <c r="B30" s="760"/>
      <c r="C30" s="411">
        <f>[2]對照表!$C33</f>
        <v>8616300</v>
      </c>
      <c r="D30" s="411">
        <f>[2]對照表!$D33</f>
        <v>334494063</v>
      </c>
      <c r="E30" s="370">
        <f t="shared" si="3"/>
        <v>343110363</v>
      </c>
      <c r="F30" s="312"/>
      <c r="G30" s="766" t="s">
        <v>314</v>
      </c>
      <c r="H30" s="767"/>
      <c r="I30" s="768"/>
      <c r="J30" s="378">
        <f t="shared" si="1"/>
        <v>334494063</v>
      </c>
    </row>
    <row r="31" spans="1:10" s="379" customFormat="1" ht="16.5">
      <c r="A31" s="760" t="s">
        <v>315</v>
      </c>
      <c r="B31" s="760"/>
      <c r="C31" s="367"/>
      <c r="D31" s="367"/>
      <c r="E31" s="368">
        <f t="shared" si="3"/>
        <v>0</v>
      </c>
      <c r="F31" s="311"/>
      <c r="G31" s="766" t="s">
        <v>315</v>
      </c>
      <c r="H31" s="767"/>
      <c r="I31" s="768"/>
      <c r="J31" s="378">
        <f t="shared" si="1"/>
        <v>0</v>
      </c>
    </row>
    <row r="32" spans="1:10" s="379" customFormat="1" ht="16.5">
      <c r="A32" s="434"/>
      <c r="B32" s="435"/>
      <c r="C32" s="367"/>
      <c r="D32" s="367">
        <f>VLOOKUP(G32,平衡!$N$13:T90,7,0)</f>
        <v>0</v>
      </c>
      <c r="E32" s="368">
        <f t="shared" si="3"/>
        <v>0</v>
      </c>
      <c r="F32" s="311"/>
      <c r="G32" s="766" t="s">
        <v>438</v>
      </c>
      <c r="H32" s="773"/>
      <c r="I32" s="774"/>
      <c r="J32" s="378"/>
    </row>
    <row r="33" spans="1:10" s="379" customFormat="1" ht="16.5">
      <c r="A33" s="769" t="s">
        <v>26</v>
      </c>
      <c r="B33" s="769"/>
      <c r="C33" s="371">
        <f>C29+C30-C31</f>
        <v>8260805</v>
      </c>
      <c r="D33" s="371">
        <f>D29+D30-D31+D32</f>
        <v>331164965</v>
      </c>
      <c r="E33" s="371">
        <f t="shared" si="3"/>
        <v>339425770</v>
      </c>
      <c r="F33" s="313"/>
      <c r="G33" s="770" t="s">
        <v>317</v>
      </c>
      <c r="H33" s="771"/>
      <c r="I33" s="772"/>
      <c r="J33" s="378">
        <f t="shared" si="1"/>
        <v>331164965</v>
      </c>
    </row>
    <row r="34" spans="1:10" s="378" customFormat="1" ht="12.75" hidden="1" customHeight="1">
      <c r="A34" s="379"/>
      <c r="B34" s="379"/>
      <c r="C34" s="379"/>
      <c r="D34" s="379"/>
      <c r="E34" s="379"/>
      <c r="F34" s="379"/>
      <c r="G34" s="379"/>
      <c r="H34" s="379"/>
    </row>
    <row r="35" spans="1:10" s="379" customFormat="1" ht="19.5" customHeight="1">
      <c r="A35" s="306" t="s">
        <v>415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tabSelected="1" view="pageBreakPreview" zoomScaleNormal="90" workbookViewId="0">
      <selection activeCell="B17" sqref="B17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76" t="str">
        <f>封面!$A$4</f>
        <v>彰化縣地方教育發展基金－彰化縣彰化市民生國民小學</v>
      </c>
      <c r="B1" s="777"/>
      <c r="C1" s="777"/>
    </row>
    <row r="2" spans="1:5" ht="25.5" customHeight="1">
      <c r="A2" s="778" t="s">
        <v>70</v>
      </c>
      <c r="B2" s="778"/>
      <c r="C2" s="778"/>
    </row>
    <row r="3" spans="1:5" ht="24" customHeight="1">
      <c r="A3" s="779" t="str">
        <f>封面!$E$10&amp;封面!$H$10&amp;封面!$I$10&amp;封面!$J$10&amp;封面!$K$10&amp;封面!$O$10&amp;"日"</f>
        <v>中華民國114年4月30日</v>
      </c>
      <c r="B3" s="779"/>
      <c r="C3" s="779"/>
    </row>
    <row r="4" spans="1:5" s="24" customFormat="1" ht="23.25" customHeight="1">
      <c r="A4" s="780"/>
      <c r="B4" s="780" t="s">
        <v>71</v>
      </c>
      <c r="C4" s="780"/>
    </row>
    <row r="5" spans="1:5" s="24" customFormat="1" ht="23.25" customHeight="1">
      <c r="A5" s="780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8200805</v>
      </c>
    </row>
    <row r="7" spans="1:5" ht="24" customHeight="1">
      <c r="A7" s="190" t="s">
        <v>192</v>
      </c>
      <c r="B7" s="97">
        <f>VLOOKUP("銀行存款-縣庫存款",平衡!$E$13:$H$90,4,0)</f>
        <v>8200805</v>
      </c>
      <c r="C7" s="97"/>
    </row>
    <row r="8" spans="1:5" ht="24" customHeight="1">
      <c r="A8" s="90" t="s">
        <v>151</v>
      </c>
      <c r="B8" s="97"/>
      <c r="C8" s="329">
        <f>SUM(B9:B14)</f>
        <v>16000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 t="s">
        <v>730</v>
      </c>
      <c r="B11" s="97">
        <v>16000</v>
      </c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6"/>
      <c r="D13" s="317"/>
      <c r="E13" s="317"/>
    </row>
    <row r="14" spans="1:5" ht="24" customHeight="1">
      <c r="A14" s="191"/>
      <c r="B14" s="97"/>
      <c r="C14" s="316"/>
      <c r="D14" s="317"/>
      <c r="E14" s="317"/>
    </row>
    <row r="15" spans="1:5" ht="24" customHeight="1">
      <c r="A15" s="25" t="s">
        <v>77</v>
      </c>
      <c r="B15" s="97"/>
      <c r="C15" s="329">
        <f>SUM(B16:B17)</f>
        <v>9556000</v>
      </c>
      <c r="D15" s="317"/>
      <c r="E15" s="317"/>
    </row>
    <row r="16" spans="1:5" ht="24" customHeight="1">
      <c r="A16" s="242" t="str">
        <f>IF(B16&gt;0,封面!J10+1&amp;"月公庫撥款收入","")</f>
        <v>5月公庫撥款收入</v>
      </c>
      <c r="B16" s="97">
        <f>縣庫對帳!G20</f>
        <v>9556000</v>
      </c>
      <c r="C16" s="316"/>
      <c r="D16" s="317"/>
      <c r="E16" s="317"/>
    </row>
    <row r="17" spans="1:5" ht="24" customHeight="1">
      <c r="A17" s="190"/>
      <c r="B17" s="97"/>
      <c r="C17" s="316"/>
      <c r="D17" s="317"/>
      <c r="E17" s="317"/>
    </row>
    <row r="18" spans="1:5" ht="24" customHeight="1">
      <c r="A18" s="25" t="s">
        <v>78</v>
      </c>
      <c r="B18" s="97"/>
      <c r="C18" s="329">
        <f>SUM(B19:B20)</f>
        <v>0</v>
      </c>
      <c r="D18" s="317"/>
      <c r="E18" s="317"/>
    </row>
    <row r="19" spans="1:5" ht="24" customHeight="1">
      <c r="A19" s="191"/>
      <c r="B19" s="97"/>
      <c r="C19" s="316"/>
      <c r="D19" s="317"/>
      <c r="E19" s="317"/>
    </row>
    <row r="20" spans="1:5" ht="24" customHeight="1">
      <c r="A20" s="190"/>
      <c r="B20" s="97"/>
      <c r="C20" s="316"/>
      <c r="D20" s="317"/>
      <c r="E20" s="317"/>
    </row>
    <row r="21" spans="1:5" ht="24" customHeight="1">
      <c r="A21" s="25" t="s">
        <v>79</v>
      </c>
      <c r="B21" s="97"/>
      <c r="C21" s="329">
        <f>SUM(B22:B23)</f>
        <v>0</v>
      </c>
      <c r="D21" s="317"/>
      <c r="E21" s="317"/>
    </row>
    <row r="22" spans="1:5" ht="24" customHeight="1">
      <c r="A22" s="190"/>
      <c r="B22" s="97"/>
      <c r="C22" s="316"/>
      <c r="D22" s="317"/>
      <c r="E22" s="317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17772805</v>
      </c>
      <c r="D24" s="22">
        <f>VLOOKUP(1,縣庫對帳!$A$4:$L$100,12)</f>
        <v>17772805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75"/>
      <c r="B27" s="775"/>
      <c r="C27" s="775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D24">
    <cfRule type="cellIs" dxfId="12" priority="1" operator="notEqual">
      <formula>$C$24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122-13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4" activePane="bottomRight" state="frozen"/>
      <selection activeCell="B16" sqref="B16"/>
      <selection pane="topRight" activeCell="B16" sqref="B16"/>
      <selection pane="bottomLeft" activeCell="B16" sqref="B16"/>
      <selection pane="bottomRight" activeCell="B2" sqref="B2:L2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15.42578125" style="26" bestFit="1" customWidth="1"/>
    <col min="6" max="6" width="8.140625" style="26" customWidth="1"/>
    <col min="7" max="7" width="9.5703125" style="27" bestFit="1" customWidth="1"/>
    <col min="8" max="9" width="10.85546875" style="27" customWidth="1"/>
    <col min="10" max="12" width="11.710937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9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81" t="s">
        <v>448</v>
      </c>
      <c r="C1" s="781"/>
      <c r="D1" s="781"/>
      <c r="E1" s="781"/>
      <c r="F1" s="781"/>
      <c r="G1" s="781"/>
      <c r="H1" s="781"/>
      <c r="I1" s="781"/>
      <c r="J1" s="781"/>
      <c r="K1" s="781"/>
      <c r="L1" s="781"/>
      <c r="M1" s="128"/>
      <c r="N1" s="46"/>
      <c r="O1" s="46"/>
      <c r="P1" s="46"/>
      <c r="Q1" s="405"/>
      <c r="R1" s="46"/>
      <c r="S1" s="46"/>
      <c r="T1" s="46"/>
      <c r="U1" s="46"/>
      <c r="V1" s="47"/>
    </row>
    <row r="2" spans="1:22" s="48" customFormat="1" ht="33">
      <c r="A2" s="128"/>
      <c r="B2" s="782" t="str">
        <f>封面!$E$10&amp;封面!$H$10&amp;封面!$I$10&amp;封面!$J$10&amp;封面!$K$10&amp;封面!L10</f>
        <v>中華民國114年4月份</v>
      </c>
      <c r="C2" s="782"/>
      <c r="D2" s="782"/>
      <c r="E2" s="782"/>
      <c r="F2" s="782"/>
      <c r="G2" s="782"/>
      <c r="H2" s="782"/>
      <c r="I2" s="782"/>
      <c r="J2" s="782"/>
      <c r="K2" s="782"/>
      <c r="L2" s="782"/>
      <c r="M2" s="129"/>
      <c r="N2" s="134" t="s">
        <v>157</v>
      </c>
      <c r="O2" s="134"/>
      <c r="P2" s="134" t="s">
        <v>156</v>
      </c>
      <c r="Q2" s="406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55728716</v>
      </c>
      <c r="O3" s="168"/>
      <c r="P3" s="168" t="e">
        <f>VLOOKUP(1,$A$4:$L$98,11,0)-P4+P5-P6+P7-P8-P9</f>
        <v>#N/A</v>
      </c>
      <c r="Q3" s="58"/>
    </row>
    <row r="4" spans="1:22">
      <c r="B4" s="158" t="s">
        <v>684</v>
      </c>
      <c r="C4" s="159" t="s">
        <v>685</v>
      </c>
      <c r="D4" s="159" t="s">
        <v>686</v>
      </c>
      <c r="E4" s="159" t="s">
        <v>686</v>
      </c>
      <c r="F4" s="159" t="s">
        <v>686</v>
      </c>
      <c r="G4" s="159" t="s">
        <v>686</v>
      </c>
      <c r="H4" s="159" t="s">
        <v>687</v>
      </c>
      <c r="I4" s="160" t="s">
        <v>686</v>
      </c>
      <c r="J4" s="160">
        <v>64666543</v>
      </c>
      <c r="K4" s="160">
        <v>47278534</v>
      </c>
      <c r="L4" s="160">
        <v>17388009</v>
      </c>
      <c r="M4" s="189" t="s">
        <v>184</v>
      </c>
      <c r="N4" s="169">
        <v>9234139</v>
      </c>
      <c r="O4" s="170" t="s">
        <v>185</v>
      </c>
      <c r="P4" s="171">
        <f>VLOOKUP("零用及週轉金",平衡!$D$13:$H$91,5,0)</f>
        <v>60000</v>
      </c>
      <c r="Q4" s="407"/>
    </row>
    <row r="5" spans="1:22">
      <c r="B5" s="158" t="s">
        <v>684</v>
      </c>
      <c r="C5" s="159" t="s">
        <v>685</v>
      </c>
      <c r="D5" s="159" t="s">
        <v>688</v>
      </c>
      <c r="E5" s="159" t="s">
        <v>689</v>
      </c>
      <c r="F5" s="159" t="s">
        <v>690</v>
      </c>
      <c r="G5" s="159" t="s">
        <v>686</v>
      </c>
      <c r="H5" s="159" t="s">
        <v>691</v>
      </c>
      <c r="I5" s="160">
        <v>11000</v>
      </c>
      <c r="J5" s="160">
        <v>64666543</v>
      </c>
      <c r="K5" s="160">
        <v>47289534</v>
      </c>
      <c r="L5" s="160">
        <v>17377009</v>
      </c>
      <c r="M5" s="170" t="s">
        <v>186</v>
      </c>
      <c r="N5" s="171">
        <f>-庫款差額!C15+庫款差額!C18</f>
        <v>-9556000</v>
      </c>
      <c r="O5" s="170" t="s">
        <v>186</v>
      </c>
      <c r="P5" s="171">
        <f>庫款差額!C8-庫款差額!C21</f>
        <v>16000</v>
      </c>
      <c r="Q5" s="407"/>
    </row>
    <row r="6" spans="1:22" ht="22.5">
      <c r="B6" s="158" t="s">
        <v>684</v>
      </c>
      <c r="C6" s="159" t="s">
        <v>685</v>
      </c>
      <c r="D6" s="159" t="s">
        <v>688</v>
      </c>
      <c r="E6" s="158" t="s">
        <v>692</v>
      </c>
      <c r="F6" s="158" t="s">
        <v>693</v>
      </c>
      <c r="G6" s="159" t="s">
        <v>686</v>
      </c>
      <c r="H6" s="159" t="s">
        <v>691</v>
      </c>
      <c r="I6" s="160">
        <v>14648</v>
      </c>
      <c r="J6" s="160">
        <v>64666543</v>
      </c>
      <c r="K6" s="160">
        <v>47304182</v>
      </c>
      <c r="L6" s="160">
        <v>17362361</v>
      </c>
      <c r="M6" s="99"/>
      <c r="N6" s="172"/>
      <c r="O6" s="173" t="s">
        <v>190</v>
      </c>
      <c r="P6" s="171">
        <v>617839</v>
      </c>
      <c r="Q6" s="407"/>
    </row>
    <row r="7" spans="1:22" ht="22.5">
      <c r="B7" s="158" t="s">
        <v>684</v>
      </c>
      <c r="C7" s="159" t="s">
        <v>685</v>
      </c>
      <c r="D7" s="159" t="s">
        <v>688</v>
      </c>
      <c r="E7" s="158" t="s">
        <v>694</v>
      </c>
      <c r="F7" s="158" t="s">
        <v>695</v>
      </c>
      <c r="G7" s="159" t="s">
        <v>686</v>
      </c>
      <c r="H7" s="159" t="s">
        <v>691</v>
      </c>
      <c r="I7" s="160">
        <v>302472</v>
      </c>
      <c r="J7" s="160">
        <v>64666543</v>
      </c>
      <c r="K7" s="160">
        <v>47606654</v>
      </c>
      <c r="L7" s="160">
        <v>17059889</v>
      </c>
      <c r="M7" s="99"/>
      <c r="N7" s="172"/>
      <c r="O7" s="173" t="s">
        <v>191</v>
      </c>
      <c r="P7" s="171">
        <f>IF(Q7=0,0,VLOOKUP("應付費用",平衡!$N$13:$T$90,7,0))</f>
        <v>0</v>
      </c>
      <c r="Q7" s="407">
        <v>1</v>
      </c>
    </row>
    <row r="8" spans="1:22">
      <c r="B8" s="158" t="s">
        <v>684</v>
      </c>
      <c r="C8" s="159" t="s">
        <v>685</v>
      </c>
      <c r="D8" s="159" t="s">
        <v>696</v>
      </c>
      <c r="E8" s="158" t="s">
        <v>697</v>
      </c>
      <c r="F8" s="158" t="s">
        <v>698</v>
      </c>
      <c r="G8" s="159" t="s">
        <v>686</v>
      </c>
      <c r="H8" s="159" t="s">
        <v>691</v>
      </c>
      <c r="I8" s="160">
        <v>11000</v>
      </c>
      <c r="J8" s="160">
        <v>64666543</v>
      </c>
      <c r="K8" s="160">
        <v>47617654</v>
      </c>
      <c r="L8" s="160">
        <v>17048889</v>
      </c>
      <c r="M8" s="99"/>
      <c r="N8" s="172"/>
      <c r="O8" s="171" t="s">
        <v>439</v>
      </c>
      <c r="P8" s="171" t="e">
        <f>VLOOKUP("預付費用",平衡!$D$13:$H$81,5,0)</f>
        <v>#N/A</v>
      </c>
      <c r="Q8" s="407"/>
    </row>
    <row r="9" spans="1:22">
      <c r="B9" s="158" t="s">
        <v>684</v>
      </c>
      <c r="C9" s="159" t="s">
        <v>685</v>
      </c>
      <c r="D9" s="159" t="s">
        <v>696</v>
      </c>
      <c r="E9" s="158" t="s">
        <v>699</v>
      </c>
      <c r="F9" s="158" t="s">
        <v>700</v>
      </c>
      <c r="G9" s="159" t="s">
        <v>686</v>
      </c>
      <c r="H9" s="159" t="s">
        <v>691</v>
      </c>
      <c r="I9" s="160">
        <v>50564</v>
      </c>
      <c r="J9" s="160">
        <v>64666543</v>
      </c>
      <c r="K9" s="160">
        <v>47668218</v>
      </c>
      <c r="L9" s="160">
        <v>16998325</v>
      </c>
      <c r="M9" s="99"/>
      <c r="N9" s="27"/>
      <c r="O9" s="171" t="s">
        <v>187</v>
      </c>
      <c r="P9" s="171"/>
      <c r="Q9" s="407"/>
    </row>
    <row r="10" spans="1:22">
      <c r="B10" s="158" t="s">
        <v>684</v>
      </c>
      <c r="C10" s="159" t="s">
        <v>685</v>
      </c>
      <c r="D10" s="159" t="s">
        <v>701</v>
      </c>
      <c r="E10" s="158" t="s">
        <v>702</v>
      </c>
      <c r="F10" s="158" t="s">
        <v>703</v>
      </c>
      <c r="G10" s="159" t="s">
        <v>686</v>
      </c>
      <c r="H10" s="159" t="s">
        <v>691</v>
      </c>
      <c r="I10" s="160">
        <v>192870</v>
      </c>
      <c r="J10" s="160">
        <v>64666543</v>
      </c>
      <c r="K10" s="160">
        <v>47861088</v>
      </c>
      <c r="L10" s="160">
        <v>16805455</v>
      </c>
      <c r="M10" s="99"/>
      <c r="N10" s="27"/>
      <c r="O10" s="27"/>
      <c r="P10" s="27"/>
      <c r="Q10" s="407"/>
    </row>
    <row r="11" spans="1:22">
      <c r="B11" s="158" t="s">
        <v>684</v>
      </c>
      <c r="C11" s="159" t="s">
        <v>685</v>
      </c>
      <c r="D11" s="159" t="s">
        <v>704</v>
      </c>
      <c r="E11" s="158" t="s">
        <v>705</v>
      </c>
      <c r="F11" s="158" t="s">
        <v>686</v>
      </c>
      <c r="G11" s="159">
        <v>245992</v>
      </c>
      <c r="H11" s="159" t="s">
        <v>706</v>
      </c>
      <c r="I11" s="160" t="s">
        <v>686</v>
      </c>
      <c r="J11" s="160">
        <v>64912535</v>
      </c>
      <c r="K11" s="160">
        <v>47861088</v>
      </c>
      <c r="L11" s="160">
        <v>17051447</v>
      </c>
      <c r="M11" s="99"/>
      <c r="N11" s="27"/>
      <c r="O11" s="27"/>
      <c r="P11" s="27"/>
      <c r="Q11" s="407"/>
    </row>
    <row r="12" spans="1:22">
      <c r="B12" s="158" t="s">
        <v>684</v>
      </c>
      <c r="C12" s="159" t="s">
        <v>685</v>
      </c>
      <c r="D12" s="159" t="s">
        <v>704</v>
      </c>
      <c r="E12" s="158" t="s">
        <v>707</v>
      </c>
      <c r="F12" s="158" t="s">
        <v>686</v>
      </c>
      <c r="G12" s="159">
        <v>49263</v>
      </c>
      <c r="H12" s="159" t="s">
        <v>706</v>
      </c>
      <c r="I12" s="160" t="s">
        <v>686</v>
      </c>
      <c r="J12" s="160">
        <v>64961798</v>
      </c>
      <c r="K12" s="160">
        <v>47861088</v>
      </c>
      <c r="L12" s="160">
        <v>17100710</v>
      </c>
      <c r="M12" s="99"/>
      <c r="N12" s="27"/>
      <c r="O12" s="27"/>
      <c r="P12" s="27"/>
      <c r="Q12" s="407"/>
    </row>
    <row r="13" spans="1:22">
      <c r="B13" s="158" t="s">
        <v>684</v>
      </c>
      <c r="C13" s="315" t="s">
        <v>685</v>
      </c>
      <c r="D13" s="315" t="s">
        <v>704</v>
      </c>
      <c r="E13" s="315" t="s">
        <v>708</v>
      </c>
      <c r="F13" s="158" t="s">
        <v>709</v>
      </c>
      <c r="G13" s="159" t="s">
        <v>686</v>
      </c>
      <c r="H13" s="159" t="s">
        <v>691</v>
      </c>
      <c r="I13" s="160">
        <v>33663</v>
      </c>
      <c r="J13" s="160">
        <v>64961798</v>
      </c>
      <c r="K13" s="160">
        <v>47894751</v>
      </c>
      <c r="L13" s="160">
        <v>17067047</v>
      </c>
      <c r="M13" s="99"/>
      <c r="N13" s="27"/>
      <c r="O13" s="27"/>
      <c r="P13" s="27"/>
      <c r="Q13" s="407"/>
    </row>
    <row r="14" spans="1:22">
      <c r="B14" s="158" t="s">
        <v>684</v>
      </c>
      <c r="C14" s="315" t="s">
        <v>685</v>
      </c>
      <c r="D14" s="315" t="s">
        <v>710</v>
      </c>
      <c r="E14" s="315" t="s">
        <v>711</v>
      </c>
      <c r="F14" s="158" t="s">
        <v>712</v>
      </c>
      <c r="G14" s="159" t="s">
        <v>686</v>
      </c>
      <c r="H14" s="159" t="s">
        <v>691</v>
      </c>
      <c r="I14" s="160">
        <v>65613</v>
      </c>
      <c r="J14" s="160">
        <v>64961798</v>
      </c>
      <c r="K14" s="160">
        <v>47960364</v>
      </c>
      <c r="L14" s="160">
        <v>17001434</v>
      </c>
      <c r="M14" s="99"/>
      <c r="N14" s="27"/>
      <c r="O14" s="27"/>
      <c r="P14" s="27"/>
      <c r="Q14" s="407"/>
    </row>
    <row r="15" spans="1:22">
      <c r="B15" s="158" t="s">
        <v>684</v>
      </c>
      <c r="C15" s="315" t="s">
        <v>685</v>
      </c>
      <c r="D15" s="315" t="s">
        <v>713</v>
      </c>
      <c r="E15" s="315" t="s">
        <v>714</v>
      </c>
      <c r="F15" s="158" t="s">
        <v>686</v>
      </c>
      <c r="G15" s="159">
        <v>434</v>
      </c>
      <c r="H15" s="159" t="s">
        <v>706</v>
      </c>
      <c r="I15" s="160" t="s">
        <v>686</v>
      </c>
      <c r="J15" s="160">
        <v>64962232</v>
      </c>
      <c r="K15" s="160">
        <v>47960364</v>
      </c>
      <c r="L15" s="160">
        <v>17001868</v>
      </c>
      <c r="M15" s="99"/>
      <c r="N15" s="27"/>
      <c r="O15" s="27"/>
      <c r="P15" s="27"/>
      <c r="Q15" s="407"/>
    </row>
    <row r="16" spans="1:22">
      <c r="B16" s="158" t="s">
        <v>684</v>
      </c>
      <c r="C16" s="315" t="s">
        <v>685</v>
      </c>
      <c r="D16" s="315" t="s">
        <v>713</v>
      </c>
      <c r="E16" s="315" t="s">
        <v>715</v>
      </c>
      <c r="F16" s="158" t="s">
        <v>716</v>
      </c>
      <c r="G16" s="159" t="s">
        <v>686</v>
      </c>
      <c r="H16" s="159" t="s">
        <v>691</v>
      </c>
      <c r="I16" s="160">
        <v>16000</v>
      </c>
      <c r="J16" s="160">
        <v>64962232</v>
      </c>
      <c r="K16" s="160">
        <v>47976364</v>
      </c>
      <c r="L16" s="160">
        <v>16985868</v>
      </c>
      <c r="M16" s="99"/>
      <c r="N16" s="27"/>
      <c r="O16" s="27"/>
      <c r="P16" s="27"/>
      <c r="Q16" s="407"/>
    </row>
    <row r="17" spans="1:19">
      <c r="B17" s="161" t="s">
        <v>684</v>
      </c>
      <c r="C17" s="328" t="s">
        <v>685</v>
      </c>
      <c r="D17" s="328" t="s">
        <v>717</v>
      </c>
      <c r="E17" s="328" t="s">
        <v>718</v>
      </c>
      <c r="F17" s="161" t="s">
        <v>686</v>
      </c>
      <c r="G17" s="162">
        <v>623</v>
      </c>
      <c r="H17" s="162" t="s">
        <v>706</v>
      </c>
      <c r="I17" s="162" t="s">
        <v>686</v>
      </c>
      <c r="J17" s="162">
        <v>64962855</v>
      </c>
      <c r="K17" s="162">
        <v>47976364</v>
      </c>
      <c r="L17" s="162">
        <v>16986491</v>
      </c>
      <c r="M17" s="99"/>
      <c r="N17" s="27"/>
      <c r="O17" s="27"/>
      <c r="P17" s="27"/>
      <c r="Q17" s="407"/>
    </row>
    <row r="18" spans="1:19">
      <c r="B18" s="161" t="s">
        <v>684</v>
      </c>
      <c r="C18" s="328" t="s">
        <v>685</v>
      </c>
      <c r="D18" s="328" t="s">
        <v>719</v>
      </c>
      <c r="E18" s="328" t="s">
        <v>720</v>
      </c>
      <c r="F18" s="161" t="s">
        <v>721</v>
      </c>
      <c r="G18" s="162" t="s">
        <v>686</v>
      </c>
      <c r="H18" s="162" t="s">
        <v>691</v>
      </c>
      <c r="I18" s="162">
        <v>157020</v>
      </c>
      <c r="J18" s="162">
        <v>64962855</v>
      </c>
      <c r="K18" s="162">
        <v>48133384</v>
      </c>
      <c r="L18" s="162">
        <v>16829471</v>
      </c>
      <c r="M18" s="99"/>
      <c r="N18" s="27"/>
      <c r="O18" s="27"/>
      <c r="P18" s="27"/>
      <c r="Q18" s="407"/>
      <c r="S18" s="55"/>
    </row>
    <row r="19" spans="1:19" s="188" customFormat="1">
      <c r="A19" s="185"/>
      <c r="B19" s="161" t="s">
        <v>684</v>
      </c>
      <c r="C19" s="328" t="s">
        <v>685</v>
      </c>
      <c r="D19" s="328" t="s">
        <v>719</v>
      </c>
      <c r="E19" s="328" t="s">
        <v>722</v>
      </c>
      <c r="F19" s="161" t="s">
        <v>723</v>
      </c>
      <c r="G19" s="162" t="s">
        <v>686</v>
      </c>
      <c r="H19" s="162" t="s">
        <v>691</v>
      </c>
      <c r="I19" s="162">
        <v>612523</v>
      </c>
      <c r="J19" s="162">
        <v>64962855</v>
      </c>
      <c r="K19" s="162">
        <v>48745907</v>
      </c>
      <c r="L19" s="162">
        <v>16216948</v>
      </c>
      <c r="M19" s="186"/>
      <c r="N19" s="187"/>
      <c r="O19" s="27"/>
      <c r="P19" s="27"/>
      <c r="Q19" s="408"/>
    </row>
    <row r="20" spans="1:19" s="188" customFormat="1" ht="14.25">
      <c r="A20" s="185"/>
      <c r="B20" s="161" t="s">
        <v>684</v>
      </c>
      <c r="C20" s="328" t="s">
        <v>685</v>
      </c>
      <c r="D20" s="328" t="s">
        <v>724</v>
      </c>
      <c r="E20" s="328" t="s">
        <v>857</v>
      </c>
      <c r="F20" s="161" t="s">
        <v>686</v>
      </c>
      <c r="G20" s="162">
        <v>9556000</v>
      </c>
      <c r="H20" s="162" t="s">
        <v>706</v>
      </c>
      <c r="I20" s="162" t="s">
        <v>686</v>
      </c>
      <c r="J20" s="162">
        <v>74518855</v>
      </c>
      <c r="K20" s="162">
        <v>48745907</v>
      </c>
      <c r="L20" s="162">
        <v>25772948</v>
      </c>
      <c r="M20" s="186"/>
      <c r="N20" s="187"/>
      <c r="O20" s="187"/>
      <c r="P20" s="187"/>
      <c r="Q20" s="408"/>
    </row>
    <row r="21" spans="1:19" s="188" customFormat="1" ht="14.25">
      <c r="A21" s="185"/>
      <c r="B21" s="161" t="s">
        <v>684</v>
      </c>
      <c r="C21" s="328" t="s">
        <v>685</v>
      </c>
      <c r="D21" s="328" t="s">
        <v>724</v>
      </c>
      <c r="E21" s="328" t="s">
        <v>725</v>
      </c>
      <c r="F21" s="161" t="s">
        <v>726</v>
      </c>
      <c r="G21" s="162" t="s">
        <v>686</v>
      </c>
      <c r="H21" s="162" t="s">
        <v>691</v>
      </c>
      <c r="I21" s="162">
        <v>7117164</v>
      </c>
      <c r="J21" s="162">
        <v>74518855</v>
      </c>
      <c r="K21" s="162">
        <v>55863071</v>
      </c>
      <c r="L21" s="162">
        <v>18655784</v>
      </c>
      <c r="M21" s="186"/>
      <c r="N21" s="187"/>
      <c r="O21" s="187"/>
      <c r="P21" s="187"/>
      <c r="Q21" s="408"/>
    </row>
    <row r="22" spans="1:19" s="188" customFormat="1" ht="14.25">
      <c r="A22" s="185">
        <v>1</v>
      </c>
      <c r="B22" s="161" t="s">
        <v>684</v>
      </c>
      <c r="C22" s="328" t="s">
        <v>685</v>
      </c>
      <c r="D22" s="328" t="s">
        <v>724</v>
      </c>
      <c r="E22" s="328" t="s">
        <v>727</v>
      </c>
      <c r="F22" s="535" t="s">
        <v>728</v>
      </c>
      <c r="G22" s="162" t="s">
        <v>686</v>
      </c>
      <c r="H22" s="162" t="s">
        <v>691</v>
      </c>
      <c r="I22" s="162">
        <v>882979</v>
      </c>
      <c r="J22" s="162">
        <v>74518855</v>
      </c>
      <c r="K22" s="162">
        <v>56746050</v>
      </c>
      <c r="L22" s="162">
        <v>17772805</v>
      </c>
      <c r="M22" s="186"/>
      <c r="N22" s="187"/>
      <c r="O22" s="187"/>
      <c r="P22" s="187"/>
      <c r="Q22" s="408"/>
    </row>
    <row r="23" spans="1:19">
      <c r="B23" s="161" t="s">
        <v>686</v>
      </c>
      <c r="C23" s="161" t="s">
        <v>729</v>
      </c>
      <c r="D23" s="161" t="s">
        <v>686</v>
      </c>
      <c r="E23" s="535" t="s">
        <v>686</v>
      </c>
      <c r="F23" s="535" t="s">
        <v>686</v>
      </c>
      <c r="G23" s="162">
        <v>9852312</v>
      </c>
      <c r="H23" s="162" t="s">
        <v>686</v>
      </c>
      <c r="I23" s="162">
        <v>9467516</v>
      </c>
      <c r="J23" s="162" t="s">
        <v>686</v>
      </c>
      <c r="K23" s="162" t="s">
        <v>686</v>
      </c>
      <c r="L23" s="162"/>
      <c r="M23" s="99"/>
      <c r="N23" s="27"/>
      <c r="O23" s="187"/>
      <c r="P23" s="187"/>
      <c r="Q23" s="407"/>
    </row>
    <row r="24" spans="1:19">
      <c r="B24" s="161"/>
      <c r="C24" s="161"/>
      <c r="D24" s="161"/>
      <c r="E24" s="535"/>
      <c r="F24" s="535"/>
      <c r="G24" s="162"/>
      <c r="H24" s="162"/>
      <c r="I24" s="162"/>
      <c r="J24" s="162"/>
      <c r="K24" s="162"/>
      <c r="L24" s="162"/>
      <c r="M24" s="99"/>
      <c r="N24" s="27"/>
      <c r="O24" s="27"/>
      <c r="P24" s="27"/>
      <c r="Q24" s="407"/>
    </row>
    <row r="25" spans="1:19">
      <c r="B25" s="161"/>
      <c r="C25" s="161"/>
      <c r="D25" s="161"/>
      <c r="E25" s="535"/>
      <c r="F25" s="535"/>
      <c r="G25" s="162"/>
      <c r="H25" s="162"/>
      <c r="I25" s="162"/>
      <c r="J25" s="162"/>
      <c r="K25" s="162"/>
      <c r="L25" s="162"/>
      <c r="M25" s="99"/>
      <c r="N25" s="27"/>
      <c r="O25" s="27"/>
      <c r="P25" s="27"/>
      <c r="Q25" s="407"/>
    </row>
    <row r="26" spans="1:19">
      <c r="B26" s="161"/>
      <c r="C26" s="161"/>
      <c r="D26" s="161"/>
      <c r="E26" s="535"/>
      <c r="F26" s="535"/>
      <c r="G26" s="162"/>
      <c r="H26" s="162"/>
      <c r="I26" s="162"/>
      <c r="J26" s="162"/>
      <c r="K26" s="162"/>
      <c r="L26" s="162"/>
      <c r="M26" s="44"/>
      <c r="N26" s="27"/>
      <c r="O26" s="27"/>
      <c r="P26" s="27"/>
      <c r="Q26" s="407"/>
    </row>
    <row r="27" spans="1:19">
      <c r="B27" s="161"/>
      <c r="C27" s="161"/>
      <c r="D27" s="161"/>
      <c r="E27" s="535"/>
      <c r="F27" s="535"/>
      <c r="G27" s="162"/>
      <c r="H27" s="162"/>
      <c r="I27" s="162"/>
      <c r="J27" s="162"/>
      <c r="K27" s="162"/>
      <c r="L27" s="162"/>
      <c r="M27" s="44"/>
      <c r="N27" s="27"/>
      <c r="O27" s="27"/>
      <c r="P27" s="27"/>
      <c r="Q27" s="407"/>
    </row>
    <row r="28" spans="1:19">
      <c r="B28" s="161"/>
      <c r="C28" s="161"/>
      <c r="D28" s="161"/>
      <c r="E28" s="535"/>
      <c r="F28" s="535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7"/>
    </row>
    <row r="29" spans="1:19">
      <c r="B29" s="161"/>
      <c r="C29" s="161"/>
      <c r="D29" s="161"/>
      <c r="E29" s="535"/>
      <c r="F29" s="535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7"/>
    </row>
    <row r="30" spans="1:19">
      <c r="B30" s="161"/>
      <c r="C30" s="161"/>
      <c r="D30" s="161"/>
      <c r="E30" s="535"/>
      <c r="F30" s="535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7"/>
    </row>
    <row r="31" spans="1:19">
      <c r="B31" s="161"/>
      <c r="C31" s="161"/>
      <c r="D31" s="161"/>
      <c r="E31" s="535"/>
      <c r="F31" s="535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7"/>
    </row>
    <row r="32" spans="1:19">
      <c r="B32" s="161"/>
      <c r="C32" s="161"/>
      <c r="D32" s="161"/>
      <c r="E32" s="535"/>
      <c r="F32" s="535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7"/>
    </row>
    <row r="33" spans="2:17">
      <c r="B33" s="161"/>
      <c r="C33" s="161"/>
      <c r="D33" s="161"/>
      <c r="E33" s="535"/>
      <c r="F33" s="535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7"/>
    </row>
    <row r="34" spans="2:17">
      <c r="B34" s="161"/>
      <c r="C34" s="161"/>
      <c r="D34" s="161"/>
      <c r="E34" s="535"/>
      <c r="F34" s="535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7"/>
    </row>
    <row r="35" spans="2:17">
      <c r="B35" s="161"/>
      <c r="C35" s="161"/>
      <c r="D35" s="161"/>
      <c r="E35" s="535"/>
      <c r="F35" s="535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7"/>
    </row>
    <row r="36" spans="2:17">
      <c r="B36" s="161"/>
      <c r="C36" s="161"/>
      <c r="D36" s="161"/>
      <c r="E36" s="535"/>
      <c r="F36" s="535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7"/>
    </row>
    <row r="37" spans="2:17">
      <c r="B37" s="161"/>
      <c r="C37" s="161"/>
      <c r="D37" s="161"/>
      <c r="E37" s="535"/>
      <c r="F37" s="535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7"/>
    </row>
    <row r="38" spans="2:17">
      <c r="B38" s="161"/>
      <c r="C38" s="161"/>
      <c r="D38" s="161"/>
      <c r="E38" s="535"/>
      <c r="F38" s="535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7"/>
    </row>
    <row r="39" spans="2:17">
      <c r="B39" s="161"/>
      <c r="C39" s="161"/>
      <c r="D39" s="161"/>
      <c r="E39" s="535"/>
      <c r="F39" s="535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7"/>
    </row>
    <row r="40" spans="2:17">
      <c r="B40" s="161"/>
      <c r="C40" s="161"/>
      <c r="D40" s="161"/>
      <c r="E40" s="535"/>
      <c r="F40" s="535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7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7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7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7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7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7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7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7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7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7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7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7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7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7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7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7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7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7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7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7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7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7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7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7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7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7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7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7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7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7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7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7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7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7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7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7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7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7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7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7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7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7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7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7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7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7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7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7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7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7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7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7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7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7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7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7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7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7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7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7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7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7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7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7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7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7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7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7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7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7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7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7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7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7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7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7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7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7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7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7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7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7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7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7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7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7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7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7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7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7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7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7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7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7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7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7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7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7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7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7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7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7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7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7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7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7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7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7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7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7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7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7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7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7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7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7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7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7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7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7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7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7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7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7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7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7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7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7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7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7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7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7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7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7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7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7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7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7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7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7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7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7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7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7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7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7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7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7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7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7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7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7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7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7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7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7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7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7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7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7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7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7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7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7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7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7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7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7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7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7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7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7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7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7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7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7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7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7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7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7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7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7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7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7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7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7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7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7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7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7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7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7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7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7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7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7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7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7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7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7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7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7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7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7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7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7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7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7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7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7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7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7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7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7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7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7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7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7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7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7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7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7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7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7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7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7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7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7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7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7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7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7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7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7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7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7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7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7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7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7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7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7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7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7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7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7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7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7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7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7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7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7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7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7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7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7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7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7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7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7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7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7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7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7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7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7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7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7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7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7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7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7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7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7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7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7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7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7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7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7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7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7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7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7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7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7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7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7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7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7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7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7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7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7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7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7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7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7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7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7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7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7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7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7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7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7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7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7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7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7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7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7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7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7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7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7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7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7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7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7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7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7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7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7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7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7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7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7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7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7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7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7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7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7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7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7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7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7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7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7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7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7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7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7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7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7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7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7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7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7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7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7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7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7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7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7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7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7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7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7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7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7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7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7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7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7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7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7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7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7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7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7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7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7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7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7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7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7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7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7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7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7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7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7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7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7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7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7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7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7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7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7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7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7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7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7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7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7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7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7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7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7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7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7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7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7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7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7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7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7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7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7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7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7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7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7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7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7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7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7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7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7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7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7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7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7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7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7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7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7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7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7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7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7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7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7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7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7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7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7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7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7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7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7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7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7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7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7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7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7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7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7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7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7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7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7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7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7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7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7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7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7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7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7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7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7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7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7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7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7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7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7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7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7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7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7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7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7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7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7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7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7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7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7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7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7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7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7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7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7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7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7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7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7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7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7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7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7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7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7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7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7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7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7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7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7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7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7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7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7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7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7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7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7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7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7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7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7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7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7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7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7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7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7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7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7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7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7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7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7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7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7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7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7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7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7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7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7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7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7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7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7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7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7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7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7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7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7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7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7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7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7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7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7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7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7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7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7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7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7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7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7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7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7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7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7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7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7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7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7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7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7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7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7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7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7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7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7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7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7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7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7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7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7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7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7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7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7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7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7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7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7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7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7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7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7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7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7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7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7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7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7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7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7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7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7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7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7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7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7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7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7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7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7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7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7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7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7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7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7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7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7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7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7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7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7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7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7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7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7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7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7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7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7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7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7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7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7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7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7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7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7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7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7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7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7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7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7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7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7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7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7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7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7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7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7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7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7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7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7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7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7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7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7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7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7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7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7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7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7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7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7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7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7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7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7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7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7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7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7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7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7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7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7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7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7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7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7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7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7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7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7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7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7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7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7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7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7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7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7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7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7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7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7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7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7"/>
    </row>
    <row r="746" spans="2:17">
      <c r="M746" s="44"/>
      <c r="N746" s="27"/>
      <c r="O746" s="27"/>
      <c r="P746" s="27"/>
      <c r="Q746" s="407"/>
    </row>
    <row r="747" spans="2:17">
      <c r="N747" s="27"/>
      <c r="O747" s="27"/>
      <c r="P747" s="27"/>
      <c r="Q747" s="407"/>
    </row>
    <row r="748" spans="2:17">
      <c r="N748" s="27"/>
      <c r="O748" s="27"/>
      <c r="P748" s="27"/>
      <c r="Q748" s="407"/>
    </row>
    <row r="749" spans="2:17">
      <c r="N749" s="27"/>
      <c r="O749" s="27"/>
      <c r="P749" s="27"/>
      <c r="Q749" s="407"/>
    </row>
    <row r="750" spans="2:17">
      <c r="N750" s="27"/>
      <c r="O750" s="27"/>
      <c r="P750" s="27"/>
      <c r="Q750" s="407"/>
    </row>
    <row r="751" spans="2:17">
      <c r="N751" s="27"/>
      <c r="O751" s="27"/>
      <c r="P751" s="27"/>
      <c r="Q751" s="407"/>
    </row>
    <row r="752" spans="2:17">
      <c r="N752" s="27"/>
      <c r="O752" s="27"/>
      <c r="P752" s="27"/>
      <c r="Q752" s="407"/>
    </row>
    <row r="753" spans="14:17">
      <c r="N753" s="27"/>
      <c r="O753" s="27"/>
      <c r="P753" s="27"/>
      <c r="Q753" s="407"/>
    </row>
    <row r="754" spans="14:17">
      <c r="N754" s="27"/>
      <c r="O754" s="27"/>
      <c r="P754" s="27"/>
      <c r="Q754" s="407"/>
    </row>
    <row r="755" spans="14:17">
      <c r="N755" s="27"/>
      <c r="O755" s="27"/>
      <c r="P755" s="27"/>
      <c r="Q755" s="407"/>
    </row>
    <row r="756" spans="14:17">
      <c r="N756" s="27"/>
      <c r="O756" s="27"/>
      <c r="P756" s="27"/>
      <c r="Q756" s="407"/>
    </row>
    <row r="757" spans="14:17">
      <c r="N757" s="27"/>
      <c r="O757" s="27"/>
      <c r="P757" s="27"/>
      <c r="Q757" s="407"/>
    </row>
    <row r="758" spans="14:17">
      <c r="N758" s="27"/>
      <c r="O758" s="27"/>
      <c r="P758" s="27"/>
      <c r="Q758" s="407"/>
    </row>
    <row r="759" spans="14:17">
      <c r="N759" s="27"/>
      <c r="O759" s="27"/>
      <c r="P759" s="27"/>
      <c r="Q759" s="407"/>
    </row>
    <row r="760" spans="14:17">
      <c r="N760" s="27"/>
      <c r="O760" s="27"/>
      <c r="P760" s="27"/>
      <c r="Q760" s="407"/>
    </row>
    <row r="761" spans="14:17">
      <c r="N761" s="27"/>
      <c r="O761" s="27"/>
      <c r="P761" s="27"/>
      <c r="Q761" s="407"/>
    </row>
    <row r="762" spans="14:17">
      <c r="N762" s="27"/>
      <c r="O762" s="27"/>
      <c r="P762" s="27"/>
      <c r="Q762" s="407"/>
    </row>
    <row r="763" spans="14:17">
      <c r="N763" s="27"/>
      <c r="O763" s="27"/>
      <c r="P763" s="27"/>
      <c r="Q763" s="407"/>
    </row>
    <row r="764" spans="14:17">
      <c r="N764" s="27"/>
      <c r="O764" s="27"/>
      <c r="P764" s="27"/>
      <c r="Q764" s="407"/>
    </row>
    <row r="765" spans="14:17">
      <c r="N765" s="27"/>
      <c r="O765" s="27"/>
      <c r="P765" s="27"/>
      <c r="Q765" s="407"/>
    </row>
    <row r="766" spans="14:17">
      <c r="N766" s="27"/>
      <c r="O766" s="27"/>
      <c r="P766" s="27"/>
      <c r="Q766" s="407"/>
    </row>
    <row r="767" spans="14:17">
      <c r="N767" s="27"/>
      <c r="O767" s="27"/>
      <c r="P767" s="27"/>
      <c r="Q767" s="407"/>
    </row>
    <row r="768" spans="14:17">
      <c r="N768" s="27"/>
      <c r="O768" s="27"/>
      <c r="P768" s="27"/>
      <c r="Q768" s="407"/>
    </row>
    <row r="769" spans="14:17">
      <c r="N769" s="27"/>
      <c r="O769" s="27"/>
      <c r="P769" s="27"/>
      <c r="Q769" s="407"/>
    </row>
    <row r="770" spans="14:17">
      <c r="N770" s="27"/>
      <c r="O770" s="27"/>
      <c r="P770" s="27"/>
      <c r="Q770" s="407"/>
    </row>
    <row r="771" spans="14:17">
      <c r="N771" s="27"/>
      <c r="O771" s="27"/>
      <c r="P771" s="27"/>
      <c r="Q771" s="407"/>
    </row>
    <row r="772" spans="14:17">
      <c r="N772" s="27"/>
      <c r="O772" s="27"/>
      <c r="P772" s="27"/>
      <c r="Q772" s="407"/>
    </row>
    <row r="773" spans="14:17">
      <c r="N773" s="27"/>
      <c r="O773" s="27"/>
      <c r="P773" s="27"/>
      <c r="Q773" s="407"/>
    </row>
    <row r="774" spans="14:17">
      <c r="N774" s="27"/>
      <c r="O774" s="27"/>
      <c r="P774" s="27"/>
      <c r="Q774" s="407"/>
    </row>
    <row r="775" spans="14:17">
      <c r="N775" s="27"/>
      <c r="O775" s="27"/>
      <c r="P775" s="27"/>
      <c r="Q775" s="407"/>
    </row>
    <row r="776" spans="14:17">
      <c r="N776" s="27"/>
      <c r="O776" s="27"/>
      <c r="P776" s="27"/>
      <c r="Q776" s="407"/>
    </row>
    <row r="777" spans="14:17">
      <c r="N777" s="27"/>
      <c r="O777" s="27"/>
      <c r="P777" s="27"/>
      <c r="Q777" s="407"/>
    </row>
    <row r="778" spans="14:17">
      <c r="N778" s="27"/>
      <c r="O778" s="27"/>
      <c r="P778" s="27"/>
      <c r="Q778" s="407"/>
    </row>
    <row r="779" spans="14:17">
      <c r="N779" s="27"/>
      <c r="O779" s="27"/>
      <c r="P779" s="27"/>
      <c r="Q779" s="407"/>
    </row>
    <row r="780" spans="14:17">
      <c r="N780" s="27"/>
      <c r="O780" s="27"/>
      <c r="P780" s="27"/>
      <c r="Q780" s="407"/>
    </row>
    <row r="781" spans="14:17">
      <c r="N781" s="27"/>
      <c r="O781" s="27"/>
      <c r="P781" s="27"/>
      <c r="Q781" s="407"/>
    </row>
    <row r="782" spans="14:17">
      <c r="N782" s="27"/>
      <c r="O782" s="27"/>
      <c r="P782" s="27"/>
      <c r="Q782" s="407"/>
    </row>
    <row r="783" spans="14:17">
      <c r="N783" s="27"/>
      <c r="O783" s="27"/>
      <c r="P783" s="27"/>
      <c r="Q783" s="407"/>
    </row>
    <row r="784" spans="14:17">
      <c r="N784" s="27"/>
      <c r="O784" s="27"/>
      <c r="P784" s="27"/>
      <c r="Q784" s="407"/>
    </row>
    <row r="785" spans="14:17">
      <c r="N785" s="27"/>
      <c r="O785" s="27"/>
      <c r="P785" s="27"/>
      <c r="Q785" s="407"/>
    </row>
    <row r="786" spans="14:17">
      <c r="N786" s="27"/>
      <c r="O786" s="27"/>
      <c r="P786" s="27"/>
      <c r="Q786" s="407"/>
    </row>
    <row r="787" spans="14:17">
      <c r="N787" s="27"/>
      <c r="O787" s="27"/>
      <c r="P787" s="27"/>
      <c r="Q787" s="407"/>
    </row>
    <row r="788" spans="14:17">
      <c r="N788" s="27"/>
      <c r="O788" s="27"/>
      <c r="P788" s="27"/>
      <c r="Q788" s="407"/>
    </row>
    <row r="789" spans="14:17">
      <c r="N789" s="27"/>
      <c r="O789" s="27"/>
      <c r="P789" s="27"/>
      <c r="Q789" s="407"/>
    </row>
    <row r="790" spans="14:17">
      <c r="N790" s="27"/>
      <c r="O790" s="27"/>
      <c r="P790" s="27"/>
      <c r="Q790" s="407"/>
    </row>
    <row r="791" spans="14:17">
      <c r="N791" s="27"/>
      <c r="O791" s="27"/>
      <c r="P791" s="27"/>
      <c r="Q791" s="407"/>
    </row>
    <row r="792" spans="14:17">
      <c r="N792" s="27"/>
      <c r="O792" s="27"/>
      <c r="P792" s="27"/>
      <c r="Q792" s="407"/>
    </row>
    <row r="793" spans="14:17">
      <c r="N793" s="27"/>
      <c r="O793" s="27"/>
      <c r="P793" s="27"/>
      <c r="Q793" s="407"/>
    </row>
    <row r="794" spans="14:17">
      <c r="N794" s="27"/>
      <c r="O794" s="27"/>
      <c r="P794" s="27"/>
      <c r="Q794" s="407"/>
    </row>
    <row r="795" spans="14:17">
      <c r="N795" s="27"/>
      <c r="O795" s="27"/>
      <c r="P795" s="27"/>
      <c r="Q795" s="407"/>
    </row>
    <row r="796" spans="14:17">
      <c r="N796" s="27"/>
      <c r="O796" s="27"/>
      <c r="P796" s="27"/>
      <c r="Q796" s="407"/>
    </row>
    <row r="797" spans="14:17">
      <c r="N797" s="27"/>
      <c r="O797" s="27"/>
      <c r="P797" s="27"/>
      <c r="Q797" s="407"/>
    </row>
    <row r="798" spans="14:17">
      <c r="N798" s="27"/>
      <c r="O798" s="27"/>
      <c r="P798" s="27"/>
      <c r="Q798" s="407"/>
    </row>
    <row r="799" spans="14:17">
      <c r="N799" s="27"/>
      <c r="O799" s="27"/>
      <c r="P799" s="27"/>
      <c r="Q799" s="407"/>
    </row>
    <row r="800" spans="14:17">
      <c r="N800" s="27"/>
      <c r="O800" s="27"/>
      <c r="P800" s="27"/>
      <c r="Q800" s="407"/>
    </row>
    <row r="801" spans="14:17">
      <c r="N801" s="27"/>
      <c r="O801" s="27"/>
      <c r="P801" s="27"/>
      <c r="Q801" s="407"/>
    </row>
    <row r="802" spans="14:17">
      <c r="N802" s="27"/>
      <c r="O802" s="27"/>
      <c r="P802" s="27"/>
      <c r="Q802" s="407"/>
    </row>
    <row r="803" spans="14:17">
      <c r="N803" s="27"/>
      <c r="O803" s="27"/>
      <c r="P803" s="27"/>
      <c r="Q803" s="407"/>
    </row>
    <row r="804" spans="14:17">
      <c r="N804" s="27"/>
      <c r="O804" s="27"/>
      <c r="P804" s="27"/>
      <c r="Q804" s="407"/>
    </row>
    <row r="805" spans="14:17">
      <c r="N805" s="27"/>
      <c r="O805" s="27"/>
      <c r="P805" s="27"/>
      <c r="Q805" s="407"/>
    </row>
    <row r="806" spans="14:17">
      <c r="N806" s="27"/>
      <c r="O806" s="27"/>
      <c r="P806" s="27"/>
      <c r="Q806" s="407"/>
    </row>
    <row r="807" spans="14:17">
      <c r="N807" s="27"/>
      <c r="O807" s="27"/>
      <c r="P807" s="27"/>
      <c r="Q807" s="407"/>
    </row>
    <row r="808" spans="14:17">
      <c r="N808" s="27"/>
      <c r="O808" s="27"/>
      <c r="P808" s="27"/>
      <c r="Q808" s="407"/>
    </row>
    <row r="809" spans="14:17">
      <c r="N809" s="27"/>
      <c r="O809" s="27"/>
      <c r="P809" s="27"/>
      <c r="Q809" s="407"/>
    </row>
    <row r="810" spans="14:17">
      <c r="N810" s="27"/>
      <c r="O810" s="27"/>
      <c r="P810" s="27"/>
      <c r="Q810" s="407"/>
    </row>
    <row r="811" spans="14:17">
      <c r="N811" s="27"/>
      <c r="O811" s="27"/>
      <c r="P811" s="27"/>
      <c r="Q811" s="407"/>
    </row>
    <row r="812" spans="14:17">
      <c r="N812" s="27"/>
      <c r="O812" s="27"/>
      <c r="P812" s="27"/>
      <c r="Q812" s="407"/>
    </row>
    <row r="813" spans="14:17">
      <c r="N813" s="27"/>
      <c r="O813" s="27"/>
      <c r="P813" s="27"/>
      <c r="Q813" s="407"/>
    </row>
    <row r="814" spans="14:17">
      <c r="N814" s="27"/>
      <c r="O814" s="27"/>
      <c r="P814" s="27"/>
      <c r="Q814" s="407"/>
    </row>
    <row r="815" spans="14:17">
      <c r="N815" s="27"/>
      <c r="O815" s="27"/>
      <c r="P815" s="27"/>
      <c r="Q815" s="407"/>
    </row>
    <row r="816" spans="14:17">
      <c r="N816" s="27"/>
      <c r="O816" s="27"/>
      <c r="P816" s="27"/>
      <c r="Q816" s="407"/>
    </row>
    <row r="817" spans="14:17">
      <c r="N817" s="27"/>
      <c r="O817" s="27"/>
      <c r="P817" s="27"/>
      <c r="Q817" s="407"/>
    </row>
    <row r="818" spans="14:17">
      <c r="N818" s="27"/>
      <c r="O818" s="27"/>
      <c r="P818" s="27"/>
      <c r="Q818" s="407"/>
    </row>
    <row r="819" spans="14:17">
      <c r="N819" s="27"/>
      <c r="O819" s="27"/>
      <c r="P819" s="27"/>
      <c r="Q819" s="407"/>
    </row>
    <row r="820" spans="14:17">
      <c r="N820" s="27"/>
      <c r="O820" s="27"/>
      <c r="P820" s="27"/>
      <c r="Q820" s="407"/>
    </row>
    <row r="821" spans="14:17">
      <c r="N821" s="27"/>
      <c r="O821" s="27"/>
      <c r="P821" s="27"/>
      <c r="Q821" s="407"/>
    </row>
    <row r="822" spans="14:17">
      <c r="N822" s="27"/>
      <c r="O822" s="27"/>
      <c r="P822" s="27"/>
      <c r="Q822" s="407"/>
    </row>
    <row r="823" spans="14:17">
      <c r="N823" s="27"/>
      <c r="O823" s="27"/>
      <c r="P823" s="27"/>
      <c r="Q823" s="407"/>
    </row>
    <row r="824" spans="14:17">
      <c r="N824" s="27"/>
      <c r="O824" s="27"/>
      <c r="P824" s="27"/>
      <c r="Q824" s="407"/>
    </row>
    <row r="825" spans="14:17">
      <c r="N825" s="27"/>
      <c r="O825" s="27"/>
      <c r="P825" s="27"/>
      <c r="Q825" s="407"/>
    </row>
    <row r="826" spans="14:17">
      <c r="N826" s="27"/>
      <c r="O826" s="27"/>
      <c r="P826" s="27"/>
      <c r="Q826" s="407"/>
    </row>
    <row r="827" spans="14:17">
      <c r="N827" s="27"/>
      <c r="O827" s="27"/>
      <c r="P827" s="27"/>
      <c r="Q827" s="407"/>
    </row>
    <row r="828" spans="14:17">
      <c r="N828" s="27"/>
      <c r="O828" s="27"/>
      <c r="P828" s="27"/>
      <c r="Q828" s="407"/>
    </row>
    <row r="829" spans="14:17">
      <c r="N829" s="27"/>
      <c r="O829" s="27"/>
      <c r="P829" s="27"/>
      <c r="Q829" s="407"/>
    </row>
    <row r="830" spans="14:17">
      <c r="N830" s="27"/>
      <c r="O830" s="27"/>
      <c r="P830" s="27"/>
      <c r="Q830" s="407"/>
    </row>
    <row r="831" spans="14:17">
      <c r="N831" s="27"/>
      <c r="O831" s="27"/>
      <c r="P831" s="27"/>
      <c r="Q831" s="407"/>
    </row>
    <row r="832" spans="14:17">
      <c r="N832" s="27"/>
      <c r="O832" s="27"/>
      <c r="P832" s="27"/>
      <c r="Q832" s="407"/>
    </row>
    <row r="833" spans="14:17">
      <c r="N833" s="27"/>
      <c r="O833" s="27"/>
      <c r="P833" s="27"/>
      <c r="Q833" s="407"/>
    </row>
    <row r="834" spans="14:17">
      <c r="N834" s="27"/>
      <c r="O834" s="27"/>
      <c r="P834" s="27"/>
      <c r="Q834" s="407"/>
    </row>
    <row r="835" spans="14:17">
      <c r="N835" s="27"/>
      <c r="O835" s="27"/>
      <c r="P835" s="27"/>
      <c r="Q835" s="407"/>
    </row>
    <row r="836" spans="14:17">
      <c r="N836" s="27"/>
      <c r="O836" s="27"/>
      <c r="P836" s="27"/>
      <c r="Q836" s="407"/>
    </row>
    <row r="837" spans="14:17">
      <c r="N837" s="27"/>
      <c r="O837" s="27"/>
      <c r="P837" s="27"/>
      <c r="Q837" s="407"/>
    </row>
    <row r="838" spans="14:17">
      <c r="N838" s="27"/>
      <c r="O838" s="27"/>
      <c r="P838" s="27"/>
      <c r="Q838" s="407"/>
    </row>
    <row r="839" spans="14:17">
      <c r="N839" s="27"/>
      <c r="O839" s="27"/>
      <c r="P839" s="27"/>
      <c r="Q839" s="407"/>
    </row>
    <row r="840" spans="14:17">
      <c r="N840" s="27"/>
      <c r="O840" s="27"/>
      <c r="P840" s="27"/>
      <c r="Q840" s="407"/>
    </row>
    <row r="841" spans="14:17">
      <c r="N841" s="27"/>
      <c r="O841" s="27"/>
      <c r="P841" s="27"/>
      <c r="Q841" s="407"/>
    </row>
    <row r="842" spans="14:17">
      <c r="N842" s="27"/>
      <c r="O842" s="27"/>
      <c r="P842" s="27"/>
      <c r="Q842" s="407"/>
    </row>
    <row r="843" spans="14:17">
      <c r="N843" s="27"/>
      <c r="O843" s="27"/>
      <c r="P843" s="27"/>
      <c r="Q843" s="407"/>
    </row>
    <row r="844" spans="14:17">
      <c r="N844" s="27"/>
      <c r="O844" s="27"/>
      <c r="P844" s="27"/>
      <c r="Q844" s="407"/>
    </row>
    <row r="845" spans="14:17">
      <c r="N845" s="27"/>
      <c r="O845" s="27"/>
      <c r="P845" s="27"/>
      <c r="Q845" s="407"/>
    </row>
    <row r="846" spans="14:17">
      <c r="N846" s="27"/>
      <c r="O846" s="27"/>
      <c r="P846" s="27"/>
      <c r="Q846" s="407"/>
    </row>
    <row r="847" spans="14:17">
      <c r="N847" s="27"/>
      <c r="O847" s="27"/>
      <c r="P847" s="27"/>
      <c r="Q847" s="407"/>
    </row>
    <row r="848" spans="14:17">
      <c r="N848" s="27"/>
      <c r="O848" s="27"/>
      <c r="P848" s="27"/>
      <c r="Q848" s="407"/>
    </row>
    <row r="849" spans="14:17">
      <c r="N849" s="27"/>
      <c r="O849" s="27"/>
      <c r="P849" s="27"/>
      <c r="Q849" s="407"/>
    </row>
    <row r="850" spans="14:17">
      <c r="N850" s="27"/>
      <c r="O850" s="27"/>
      <c r="P850" s="27"/>
      <c r="Q850" s="407"/>
    </row>
    <row r="851" spans="14:17">
      <c r="N851" s="27"/>
      <c r="O851" s="27"/>
      <c r="P851" s="27"/>
      <c r="Q851" s="407"/>
    </row>
    <row r="852" spans="14:17">
      <c r="N852" s="27"/>
      <c r="O852" s="27"/>
      <c r="P852" s="27"/>
      <c r="Q852" s="407"/>
    </row>
    <row r="853" spans="14:17">
      <c r="N853" s="27"/>
      <c r="O853" s="27"/>
      <c r="P853" s="27"/>
      <c r="Q853" s="407"/>
    </row>
    <row r="854" spans="14:17">
      <c r="N854" s="27"/>
      <c r="O854" s="27"/>
      <c r="P854" s="27"/>
      <c r="Q854" s="407"/>
    </row>
    <row r="855" spans="14:17">
      <c r="N855" s="27"/>
      <c r="O855" s="27"/>
      <c r="P855" s="27"/>
      <c r="Q855" s="407"/>
    </row>
    <row r="856" spans="14:17">
      <c r="N856" s="27"/>
      <c r="O856" s="27"/>
      <c r="P856" s="27"/>
      <c r="Q856" s="407"/>
    </row>
    <row r="857" spans="14:17">
      <c r="N857" s="27"/>
      <c r="O857" s="27"/>
      <c r="P857" s="27"/>
      <c r="Q857" s="407"/>
    </row>
    <row r="858" spans="14:17">
      <c r="N858" s="27"/>
      <c r="O858" s="27"/>
      <c r="P858" s="27"/>
      <c r="Q858" s="407"/>
    </row>
    <row r="859" spans="14:17">
      <c r="N859" s="27"/>
      <c r="O859" s="27"/>
      <c r="P859" s="27"/>
      <c r="Q859" s="407"/>
    </row>
    <row r="860" spans="14:17">
      <c r="N860" s="27"/>
      <c r="O860" s="27"/>
      <c r="P860" s="27"/>
      <c r="Q860" s="407"/>
    </row>
    <row r="861" spans="14:17">
      <c r="N861" s="27"/>
      <c r="O861" s="27"/>
      <c r="P861" s="27"/>
      <c r="Q861" s="407"/>
    </row>
    <row r="862" spans="14:17">
      <c r="N862" s="27"/>
      <c r="O862" s="27"/>
      <c r="P862" s="27"/>
      <c r="Q862" s="407"/>
    </row>
    <row r="863" spans="14:17">
      <c r="N863" s="27"/>
      <c r="O863" s="27"/>
      <c r="P863" s="27"/>
      <c r="Q863" s="407"/>
    </row>
    <row r="864" spans="14:17">
      <c r="N864" s="27"/>
      <c r="O864" s="27"/>
      <c r="P864" s="27"/>
      <c r="Q864" s="407"/>
    </row>
    <row r="865" spans="14:17">
      <c r="N865" s="27"/>
      <c r="O865" s="27"/>
      <c r="P865" s="27"/>
      <c r="Q865" s="407"/>
    </row>
    <row r="866" spans="14:17">
      <c r="N866" s="27"/>
      <c r="O866" s="27"/>
      <c r="P866" s="27"/>
      <c r="Q866" s="407"/>
    </row>
    <row r="867" spans="14:17">
      <c r="N867" s="27"/>
      <c r="O867" s="27"/>
      <c r="P867" s="27"/>
      <c r="Q867" s="407"/>
    </row>
    <row r="868" spans="14:17">
      <c r="N868" s="27"/>
      <c r="O868" s="27"/>
      <c r="P868" s="27"/>
      <c r="Q868" s="407"/>
    </row>
    <row r="869" spans="14:17">
      <c r="N869" s="27"/>
      <c r="O869" s="27"/>
      <c r="P869" s="27"/>
      <c r="Q869" s="407"/>
    </row>
    <row r="870" spans="14:17">
      <c r="N870" s="27"/>
      <c r="O870" s="27"/>
      <c r="P870" s="27"/>
      <c r="Q870" s="407"/>
    </row>
    <row r="871" spans="14:17">
      <c r="N871" s="27"/>
      <c r="O871" s="27"/>
      <c r="P871" s="27"/>
      <c r="Q871" s="407"/>
    </row>
    <row r="872" spans="14:17">
      <c r="N872" s="27"/>
      <c r="O872" s="27"/>
      <c r="P872" s="27"/>
      <c r="Q872" s="407"/>
    </row>
    <row r="873" spans="14:17">
      <c r="N873" s="27"/>
      <c r="O873" s="27"/>
      <c r="P873" s="27"/>
      <c r="Q873" s="407"/>
    </row>
    <row r="874" spans="14:17">
      <c r="N874" s="27"/>
      <c r="O874" s="27"/>
      <c r="P874" s="27"/>
      <c r="Q874" s="407"/>
    </row>
    <row r="875" spans="14:17">
      <c r="N875" s="27"/>
      <c r="O875" s="27"/>
      <c r="P875" s="27"/>
      <c r="Q875" s="407"/>
    </row>
    <row r="876" spans="14:17">
      <c r="N876" s="27"/>
      <c r="O876" s="27"/>
      <c r="P876" s="27"/>
      <c r="Q876" s="407"/>
    </row>
    <row r="877" spans="14:17">
      <c r="N877" s="27"/>
      <c r="O877" s="27"/>
      <c r="P877" s="27"/>
      <c r="Q877" s="407"/>
    </row>
    <row r="878" spans="14:17">
      <c r="N878" s="27"/>
      <c r="O878" s="27"/>
      <c r="P878" s="27"/>
      <c r="Q878" s="407"/>
    </row>
    <row r="879" spans="14:17">
      <c r="N879" s="27"/>
      <c r="O879" s="27"/>
      <c r="P879" s="27"/>
      <c r="Q879" s="407"/>
    </row>
    <row r="880" spans="14:17">
      <c r="N880" s="27"/>
      <c r="O880" s="27"/>
      <c r="P880" s="27"/>
      <c r="Q880" s="407"/>
    </row>
    <row r="881" spans="14:17">
      <c r="N881" s="27"/>
      <c r="O881" s="27"/>
      <c r="P881" s="27"/>
      <c r="Q881" s="407"/>
    </row>
    <row r="882" spans="14:17">
      <c r="N882" s="27"/>
      <c r="O882" s="27"/>
      <c r="P882" s="27"/>
      <c r="Q882" s="407"/>
    </row>
    <row r="883" spans="14:17">
      <c r="N883" s="27"/>
      <c r="O883" s="27"/>
      <c r="P883" s="27"/>
      <c r="Q883" s="407"/>
    </row>
    <row r="884" spans="14:17">
      <c r="N884" s="27"/>
      <c r="O884" s="27"/>
      <c r="P884" s="27"/>
      <c r="Q884" s="407"/>
    </row>
    <row r="885" spans="14:17">
      <c r="N885" s="27"/>
      <c r="O885" s="27"/>
      <c r="P885" s="27"/>
      <c r="Q885" s="407"/>
    </row>
    <row r="886" spans="14:17">
      <c r="N886" s="27"/>
      <c r="O886" s="27"/>
      <c r="P886" s="27"/>
      <c r="Q886" s="407"/>
    </row>
    <row r="887" spans="14:17">
      <c r="N887" s="27"/>
      <c r="O887" s="27"/>
      <c r="P887" s="27"/>
      <c r="Q887" s="407"/>
    </row>
    <row r="888" spans="14:17">
      <c r="N888" s="27"/>
      <c r="O888" s="27"/>
      <c r="P888" s="27"/>
      <c r="Q888" s="407"/>
    </row>
    <row r="889" spans="14:17">
      <c r="N889" s="27"/>
      <c r="O889" s="27"/>
      <c r="P889" s="27"/>
      <c r="Q889" s="407"/>
    </row>
    <row r="890" spans="14:17">
      <c r="N890" s="27"/>
      <c r="O890" s="27"/>
      <c r="P890" s="27"/>
      <c r="Q890" s="407"/>
    </row>
    <row r="891" spans="14:17">
      <c r="N891" s="27"/>
      <c r="O891" s="27"/>
      <c r="P891" s="27"/>
      <c r="Q891" s="407"/>
    </row>
    <row r="892" spans="14:17">
      <c r="N892" s="27"/>
      <c r="O892" s="27"/>
      <c r="P892" s="27"/>
      <c r="Q892" s="407"/>
    </row>
    <row r="893" spans="14:17">
      <c r="N893" s="27"/>
      <c r="O893" s="27"/>
      <c r="P893" s="27"/>
      <c r="Q893" s="407"/>
    </row>
    <row r="894" spans="14:17">
      <c r="N894" s="27"/>
      <c r="O894" s="27"/>
      <c r="P894" s="27"/>
      <c r="Q894" s="407"/>
    </row>
    <row r="895" spans="14:17">
      <c r="N895" s="27"/>
      <c r="O895" s="27"/>
      <c r="P895" s="27"/>
      <c r="Q895" s="407"/>
    </row>
    <row r="896" spans="14:17">
      <c r="N896" s="27"/>
      <c r="O896" s="27"/>
      <c r="P896" s="27"/>
      <c r="Q896" s="407"/>
    </row>
    <row r="897" spans="14:17">
      <c r="N897" s="27"/>
      <c r="O897" s="27"/>
      <c r="P897" s="27"/>
      <c r="Q897" s="407"/>
    </row>
    <row r="898" spans="14:17">
      <c r="N898" s="27"/>
      <c r="O898" s="27"/>
      <c r="P898" s="27"/>
      <c r="Q898" s="407"/>
    </row>
    <row r="899" spans="14:17">
      <c r="N899" s="27"/>
      <c r="O899" s="27"/>
      <c r="P899" s="27"/>
      <c r="Q899" s="407"/>
    </row>
    <row r="900" spans="14:17">
      <c r="N900" s="27"/>
      <c r="O900" s="27"/>
      <c r="P900" s="27"/>
      <c r="Q900" s="407"/>
    </row>
    <row r="901" spans="14:17">
      <c r="N901" s="27"/>
      <c r="O901" s="27"/>
      <c r="P901" s="27"/>
      <c r="Q901" s="407"/>
    </row>
    <row r="902" spans="14:17">
      <c r="N902" s="27"/>
      <c r="O902" s="27"/>
      <c r="P902" s="27"/>
      <c r="Q902" s="407"/>
    </row>
    <row r="903" spans="14:17">
      <c r="N903" s="27"/>
      <c r="O903" s="27"/>
      <c r="P903" s="27"/>
      <c r="Q903" s="407"/>
    </row>
    <row r="904" spans="14:17">
      <c r="N904" s="27"/>
      <c r="O904" s="27"/>
      <c r="P904" s="27"/>
      <c r="Q904" s="407"/>
    </row>
    <row r="905" spans="14:17">
      <c r="N905" s="27"/>
      <c r="O905" s="27"/>
      <c r="P905" s="27"/>
      <c r="Q905" s="407"/>
    </row>
    <row r="906" spans="14:17">
      <c r="N906" s="27"/>
      <c r="O906" s="27"/>
      <c r="P906" s="27"/>
      <c r="Q906" s="407"/>
    </row>
    <row r="907" spans="14:17">
      <c r="N907" s="27"/>
      <c r="O907" s="27"/>
      <c r="P907" s="27"/>
      <c r="Q907" s="407"/>
    </row>
    <row r="908" spans="14:17">
      <c r="N908" s="27"/>
      <c r="O908" s="27"/>
      <c r="P908" s="27"/>
      <c r="Q908" s="407"/>
    </row>
    <row r="909" spans="14:17">
      <c r="N909" s="27"/>
      <c r="O909" s="27"/>
      <c r="P909" s="27"/>
      <c r="Q909" s="407"/>
    </row>
    <row r="910" spans="14:17">
      <c r="N910" s="27"/>
      <c r="O910" s="27"/>
      <c r="P910" s="27"/>
      <c r="Q910" s="407"/>
    </row>
    <row r="911" spans="14:17">
      <c r="N911" s="27"/>
      <c r="O911" s="27"/>
      <c r="P911" s="27"/>
      <c r="Q911" s="407"/>
    </row>
    <row r="912" spans="14:17">
      <c r="N912" s="27"/>
      <c r="O912" s="27"/>
      <c r="P912" s="27"/>
      <c r="Q912" s="407"/>
    </row>
    <row r="913" spans="14:17">
      <c r="N913" s="27"/>
      <c r="O913" s="27"/>
      <c r="P913" s="27"/>
      <c r="Q913" s="407"/>
    </row>
    <row r="914" spans="14:17">
      <c r="N914" s="27"/>
      <c r="O914" s="27"/>
      <c r="P914" s="27"/>
      <c r="Q914" s="407"/>
    </row>
    <row r="915" spans="14:17">
      <c r="N915" s="27"/>
      <c r="O915" s="27"/>
      <c r="P915" s="27"/>
      <c r="Q915" s="407"/>
    </row>
    <row r="916" spans="14:17">
      <c r="N916" s="27"/>
      <c r="O916" s="27"/>
      <c r="P916" s="27"/>
      <c r="Q916" s="407"/>
    </row>
    <row r="917" spans="14:17">
      <c r="N917" s="27"/>
      <c r="O917" s="27"/>
      <c r="P917" s="27"/>
      <c r="Q917" s="407"/>
    </row>
    <row r="918" spans="14:17">
      <c r="N918" s="27"/>
      <c r="O918" s="27"/>
      <c r="P918" s="27"/>
      <c r="Q918" s="407"/>
    </row>
    <row r="919" spans="14:17">
      <c r="N919" s="27"/>
      <c r="O919" s="27"/>
      <c r="P919" s="27"/>
      <c r="Q919" s="407"/>
    </row>
    <row r="920" spans="14:17">
      <c r="N920" s="27"/>
      <c r="O920" s="27"/>
      <c r="P920" s="27"/>
      <c r="Q920" s="407"/>
    </row>
    <row r="921" spans="14:17">
      <c r="N921" s="27"/>
      <c r="O921" s="27"/>
      <c r="P921" s="27"/>
      <c r="Q921" s="407"/>
    </row>
    <row r="922" spans="14:17">
      <c r="N922" s="27"/>
      <c r="O922" s="27"/>
      <c r="P922" s="27"/>
      <c r="Q922" s="407"/>
    </row>
    <row r="923" spans="14:17">
      <c r="N923" s="27"/>
      <c r="O923" s="27"/>
      <c r="P923" s="27"/>
      <c r="Q923" s="407"/>
    </row>
    <row r="924" spans="14:17">
      <c r="N924" s="27"/>
      <c r="O924" s="27"/>
      <c r="P924" s="27"/>
      <c r="Q924" s="407"/>
    </row>
    <row r="925" spans="14:17">
      <c r="N925" s="27"/>
      <c r="O925" s="27"/>
      <c r="P925" s="27"/>
      <c r="Q925" s="407"/>
    </row>
    <row r="926" spans="14:17">
      <c r="N926" s="27"/>
      <c r="O926" s="27"/>
      <c r="P926" s="27"/>
      <c r="Q926" s="407"/>
    </row>
    <row r="927" spans="14:17">
      <c r="N927" s="27"/>
      <c r="O927" s="27"/>
      <c r="P927" s="27"/>
      <c r="Q927" s="407"/>
    </row>
    <row r="928" spans="14:17">
      <c r="N928" s="27"/>
      <c r="O928" s="27"/>
      <c r="P928" s="27"/>
      <c r="Q928" s="407"/>
    </row>
    <row r="929" spans="14:17">
      <c r="N929" s="27"/>
      <c r="O929" s="27"/>
      <c r="P929" s="27"/>
      <c r="Q929" s="407"/>
    </row>
    <row r="930" spans="14:17">
      <c r="N930" s="27"/>
      <c r="O930" s="27"/>
      <c r="P930" s="27"/>
      <c r="Q930" s="407"/>
    </row>
    <row r="931" spans="14:17">
      <c r="N931" s="27"/>
      <c r="O931" s="27"/>
      <c r="P931" s="27"/>
      <c r="Q931" s="407"/>
    </row>
    <row r="932" spans="14:17">
      <c r="N932" s="27"/>
      <c r="O932" s="27"/>
      <c r="P932" s="27"/>
      <c r="Q932" s="407"/>
    </row>
    <row r="933" spans="14:17">
      <c r="N933" s="27"/>
      <c r="O933" s="27"/>
      <c r="P933" s="27"/>
      <c r="Q933" s="407"/>
    </row>
    <row r="934" spans="14:17">
      <c r="N934" s="27"/>
      <c r="O934" s="27"/>
      <c r="P934" s="27"/>
      <c r="Q934" s="407"/>
    </row>
    <row r="935" spans="14:17">
      <c r="N935" s="27"/>
      <c r="O935" s="27"/>
      <c r="P935" s="27"/>
      <c r="Q935" s="407"/>
    </row>
    <row r="936" spans="14:17">
      <c r="N936" s="27"/>
      <c r="O936" s="27"/>
      <c r="P936" s="27"/>
      <c r="Q936" s="407"/>
    </row>
    <row r="937" spans="14:17">
      <c r="N937" s="27"/>
      <c r="O937" s="27"/>
      <c r="P937" s="27"/>
      <c r="Q937" s="407"/>
    </row>
    <row r="938" spans="14:17">
      <c r="N938" s="27"/>
      <c r="O938" s="27"/>
      <c r="P938" s="27"/>
      <c r="Q938" s="407"/>
    </row>
    <row r="939" spans="14:17">
      <c r="N939" s="27"/>
      <c r="O939" s="27"/>
      <c r="P939" s="27"/>
      <c r="Q939" s="407"/>
    </row>
    <row r="940" spans="14:17">
      <c r="N940" s="27"/>
      <c r="O940" s="27"/>
      <c r="P940" s="27"/>
      <c r="Q940" s="407"/>
    </row>
    <row r="941" spans="14:17">
      <c r="N941" s="27"/>
      <c r="O941" s="27"/>
      <c r="P941" s="27"/>
      <c r="Q941" s="407"/>
    </row>
    <row r="942" spans="14:17">
      <c r="N942" s="27"/>
      <c r="O942" s="27"/>
      <c r="P942" s="27"/>
      <c r="Q942" s="407"/>
    </row>
    <row r="943" spans="14:17">
      <c r="N943" s="27"/>
      <c r="O943" s="27"/>
      <c r="P943" s="27"/>
      <c r="Q943" s="407"/>
    </row>
    <row r="944" spans="14:17">
      <c r="N944" s="27"/>
      <c r="O944" s="27"/>
      <c r="P944" s="27"/>
      <c r="Q944" s="407"/>
    </row>
    <row r="945" spans="14:17">
      <c r="N945" s="27"/>
      <c r="O945" s="27"/>
      <c r="P945" s="27"/>
      <c r="Q945" s="407"/>
    </row>
    <row r="946" spans="14:17">
      <c r="N946" s="27"/>
      <c r="O946" s="27"/>
      <c r="P946" s="27"/>
      <c r="Q946" s="407"/>
    </row>
    <row r="947" spans="14:17">
      <c r="N947" s="27"/>
      <c r="O947" s="27"/>
      <c r="P947" s="27"/>
      <c r="Q947" s="407"/>
    </row>
    <row r="948" spans="14:17">
      <c r="N948" s="27"/>
      <c r="O948" s="27"/>
      <c r="P948" s="27"/>
      <c r="Q948" s="407"/>
    </row>
    <row r="949" spans="14:17">
      <c r="N949" s="27"/>
      <c r="O949" s="27"/>
      <c r="P949" s="27"/>
      <c r="Q949" s="407"/>
    </row>
    <row r="950" spans="14:17">
      <c r="N950" s="27"/>
      <c r="O950" s="27"/>
      <c r="P950" s="27"/>
      <c r="Q950" s="407"/>
    </row>
    <row r="951" spans="14:17">
      <c r="N951" s="27"/>
      <c r="O951" s="27"/>
      <c r="P951" s="27"/>
      <c r="Q951" s="407"/>
    </row>
    <row r="952" spans="14:17">
      <c r="N952" s="27"/>
      <c r="O952" s="27"/>
      <c r="P952" s="27"/>
      <c r="Q952" s="407"/>
    </row>
    <row r="953" spans="14:17">
      <c r="N953" s="27"/>
      <c r="O953" s="27"/>
      <c r="P953" s="27"/>
      <c r="Q953" s="407"/>
    </row>
    <row r="954" spans="14:17">
      <c r="N954" s="27"/>
      <c r="O954" s="27"/>
      <c r="P954" s="27"/>
      <c r="Q954" s="407"/>
    </row>
    <row r="955" spans="14:17">
      <c r="N955" s="27"/>
      <c r="O955" s="27"/>
      <c r="P955" s="27"/>
      <c r="Q955" s="407"/>
    </row>
    <row r="956" spans="14:17">
      <c r="N956" s="27"/>
      <c r="O956" s="27"/>
      <c r="P956" s="27"/>
      <c r="Q956" s="407"/>
    </row>
    <row r="957" spans="14:17">
      <c r="N957" s="27"/>
      <c r="O957" s="27"/>
      <c r="P957" s="27"/>
      <c r="Q957" s="407"/>
    </row>
    <row r="958" spans="14:17">
      <c r="N958" s="27"/>
      <c r="O958" s="27"/>
      <c r="P958" s="27"/>
      <c r="Q958" s="407"/>
    </row>
    <row r="959" spans="14:17">
      <c r="N959" s="27"/>
      <c r="O959" s="27"/>
      <c r="P959" s="27"/>
      <c r="Q959" s="407"/>
    </row>
    <row r="960" spans="14:17">
      <c r="N960" s="27"/>
      <c r="O960" s="27"/>
      <c r="P960" s="27"/>
      <c r="Q960" s="407"/>
    </row>
    <row r="961" spans="14:17">
      <c r="N961" s="27"/>
      <c r="O961" s="27"/>
      <c r="P961" s="27"/>
      <c r="Q961" s="407"/>
    </row>
    <row r="962" spans="14:17">
      <c r="N962" s="27"/>
      <c r="O962" s="27"/>
      <c r="P962" s="27"/>
      <c r="Q962" s="407"/>
    </row>
    <row r="963" spans="14:17">
      <c r="N963" s="27"/>
      <c r="O963" s="27"/>
      <c r="P963" s="27"/>
      <c r="Q963" s="407"/>
    </row>
    <row r="964" spans="14:17">
      <c r="N964" s="27"/>
      <c r="O964" s="27"/>
      <c r="P964" s="27"/>
      <c r="Q964" s="407"/>
    </row>
    <row r="965" spans="14:17">
      <c r="N965" s="27"/>
      <c r="O965" s="27"/>
      <c r="P965" s="27"/>
      <c r="Q965" s="407"/>
    </row>
    <row r="966" spans="14:17">
      <c r="N966" s="27"/>
      <c r="O966" s="27"/>
      <c r="P966" s="27"/>
      <c r="Q966" s="407"/>
    </row>
    <row r="967" spans="14:17">
      <c r="N967" s="27"/>
      <c r="O967" s="27"/>
      <c r="P967" s="27"/>
      <c r="Q967" s="407"/>
    </row>
    <row r="968" spans="14:17">
      <c r="N968" s="27"/>
      <c r="O968" s="27"/>
      <c r="P968" s="27"/>
      <c r="Q968" s="407"/>
    </row>
    <row r="969" spans="14:17">
      <c r="N969" s="27"/>
      <c r="O969" s="27"/>
      <c r="P969" s="27"/>
      <c r="Q969" s="407"/>
    </row>
    <row r="970" spans="14:17">
      <c r="N970" s="27"/>
      <c r="O970" s="27"/>
      <c r="P970" s="27"/>
      <c r="Q970" s="407"/>
    </row>
    <row r="971" spans="14:17">
      <c r="N971" s="27"/>
      <c r="O971" s="27"/>
      <c r="P971" s="27"/>
      <c r="Q971" s="407"/>
    </row>
    <row r="972" spans="14:17">
      <c r="N972" s="27"/>
      <c r="O972" s="27"/>
      <c r="P972" s="27"/>
      <c r="Q972" s="407"/>
    </row>
    <row r="973" spans="14:17">
      <c r="N973" s="27"/>
      <c r="O973" s="27"/>
      <c r="P973" s="27"/>
      <c r="Q973" s="407"/>
    </row>
    <row r="974" spans="14:17">
      <c r="N974" s="27"/>
      <c r="O974" s="27"/>
      <c r="P974" s="27"/>
      <c r="Q974" s="407"/>
    </row>
    <row r="975" spans="14:17">
      <c r="N975" s="27"/>
      <c r="O975" s="27"/>
      <c r="P975" s="27"/>
      <c r="Q975" s="407"/>
    </row>
    <row r="976" spans="14:17">
      <c r="N976" s="27"/>
      <c r="O976" s="27"/>
      <c r="P976" s="27"/>
      <c r="Q976" s="407"/>
    </row>
    <row r="977" spans="14:17">
      <c r="N977" s="27"/>
      <c r="O977" s="27"/>
      <c r="P977" s="27"/>
      <c r="Q977" s="407"/>
    </row>
    <row r="978" spans="14:17">
      <c r="N978" s="27"/>
      <c r="O978" s="27"/>
      <c r="P978" s="27"/>
      <c r="Q978" s="407"/>
    </row>
    <row r="979" spans="14:17">
      <c r="N979" s="27"/>
      <c r="O979" s="27"/>
      <c r="P979" s="27"/>
      <c r="Q979" s="407"/>
    </row>
    <row r="980" spans="14:17">
      <c r="N980" s="27"/>
      <c r="O980" s="27"/>
      <c r="P980" s="27"/>
      <c r="Q980" s="407"/>
    </row>
    <row r="981" spans="14:17">
      <c r="N981" s="27"/>
      <c r="O981" s="27"/>
      <c r="P981" s="27"/>
      <c r="Q981" s="407"/>
    </row>
    <row r="982" spans="14:17">
      <c r="N982" s="27"/>
      <c r="O982" s="27"/>
      <c r="P982" s="27"/>
      <c r="Q982" s="407"/>
    </row>
    <row r="983" spans="14:17">
      <c r="N983" s="27"/>
      <c r="O983" s="27"/>
      <c r="P983" s="27"/>
      <c r="Q983" s="407"/>
    </row>
    <row r="984" spans="14:17">
      <c r="N984" s="27"/>
      <c r="O984" s="27"/>
      <c r="P984" s="27"/>
      <c r="Q984" s="407"/>
    </row>
    <row r="985" spans="14:17">
      <c r="N985" s="27"/>
      <c r="O985" s="27"/>
      <c r="P985" s="27"/>
      <c r="Q985" s="407"/>
    </row>
    <row r="986" spans="14:17">
      <c r="N986" s="27"/>
      <c r="O986" s="27"/>
      <c r="P986" s="27"/>
      <c r="Q986" s="407"/>
    </row>
    <row r="987" spans="14:17">
      <c r="N987" s="27"/>
      <c r="O987" s="27"/>
      <c r="P987" s="27"/>
      <c r="Q987" s="407"/>
    </row>
    <row r="988" spans="14:17">
      <c r="N988" s="27"/>
      <c r="O988" s="27"/>
      <c r="P988" s="27"/>
      <c r="Q988" s="407"/>
    </row>
    <row r="989" spans="14:17">
      <c r="N989" s="27"/>
      <c r="O989" s="27"/>
      <c r="P989" s="27"/>
      <c r="Q989" s="407"/>
    </row>
    <row r="990" spans="14:17">
      <c r="N990" s="27"/>
      <c r="O990" s="27"/>
      <c r="P990" s="27"/>
      <c r="Q990" s="407"/>
    </row>
    <row r="991" spans="14:17">
      <c r="N991" s="27"/>
      <c r="O991" s="27"/>
      <c r="P991" s="27"/>
      <c r="Q991" s="407"/>
    </row>
    <row r="992" spans="14:17">
      <c r="N992" s="27"/>
      <c r="O992" s="27"/>
      <c r="P992" s="27"/>
      <c r="Q992" s="407"/>
    </row>
    <row r="993" spans="14:17">
      <c r="N993" s="27"/>
      <c r="O993" s="27"/>
      <c r="P993" s="27"/>
      <c r="Q993" s="407"/>
    </row>
    <row r="994" spans="14:17">
      <c r="N994" s="27"/>
      <c r="O994" s="27"/>
      <c r="P994" s="27"/>
      <c r="Q994" s="407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31" activePane="bottomRight" state="frozen"/>
      <selection pane="topRight" activeCell="C1" sqref="C1"/>
      <selection pane="bottomLeft" activeCell="A7" sqref="A7"/>
      <selection pane="bottomRight" activeCell="H49" sqref="H49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6" bestFit="1" customWidth="1"/>
    <col min="4" max="5" width="4.28515625" style="276" bestFit="1" customWidth="1"/>
    <col min="6" max="6" width="13.5703125" style="276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1.5703125" style="245" bestFit="1" customWidth="1"/>
    <col min="14" max="14" width="14" style="24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3" ht="21">
      <c r="B1" s="785" t="s">
        <v>276</v>
      </c>
      <c r="C1" s="785"/>
      <c r="D1" s="785"/>
      <c r="E1" s="785"/>
      <c r="F1" s="785"/>
      <c r="G1" s="785"/>
      <c r="H1" s="785"/>
      <c r="I1" s="785"/>
      <c r="J1" s="785"/>
      <c r="K1" s="785"/>
      <c r="L1" s="785"/>
    </row>
    <row r="2" spans="1:13" ht="21">
      <c r="B2" s="785" t="s">
        <v>228</v>
      </c>
      <c r="C2" s="785"/>
      <c r="D2" s="785"/>
      <c r="E2" s="785"/>
      <c r="F2" s="785"/>
      <c r="G2" s="785"/>
      <c r="H2" s="785"/>
      <c r="I2" s="785"/>
      <c r="J2" s="785"/>
      <c r="K2" s="785"/>
      <c r="L2" s="785"/>
    </row>
    <row r="3" spans="1:13" ht="21">
      <c r="B3" s="785" t="str">
        <f>封面!E10&amp;封面!H10&amp;封面!I10&amp;封面!J10&amp;封面!K10&amp;封面!L10</f>
        <v>中華民國114年4月份</v>
      </c>
      <c r="C3" s="785"/>
      <c r="D3" s="785"/>
      <c r="E3" s="785"/>
      <c r="F3" s="785"/>
      <c r="G3" s="785"/>
      <c r="H3" s="785"/>
      <c r="I3" s="785"/>
      <c r="J3" s="785"/>
      <c r="K3" s="785"/>
      <c r="L3" s="785"/>
    </row>
    <row r="4" spans="1:13" ht="21">
      <c r="B4" s="246" t="s">
        <v>290</v>
      </c>
      <c r="C4" s="247"/>
      <c r="D4" s="247"/>
      <c r="E4" s="247"/>
      <c r="F4" s="247"/>
      <c r="G4" s="248"/>
      <c r="H4" s="248"/>
      <c r="I4" s="248"/>
      <c r="J4" s="786"/>
      <c r="K4" s="786"/>
      <c r="L4" s="787"/>
    </row>
    <row r="5" spans="1:13" ht="16.5">
      <c r="A5" s="788" t="s">
        <v>229</v>
      </c>
      <c r="B5" s="789"/>
      <c r="C5" s="792" t="s">
        <v>230</v>
      </c>
      <c r="D5" s="792"/>
      <c r="E5" s="792"/>
      <c r="F5" s="793" t="s">
        <v>231</v>
      </c>
      <c r="G5" s="795" t="s">
        <v>232</v>
      </c>
      <c r="H5" s="796"/>
      <c r="I5" s="796"/>
      <c r="J5" s="796"/>
      <c r="K5" s="796"/>
      <c r="L5" s="797"/>
    </row>
    <row r="6" spans="1:13" ht="39.75" customHeight="1">
      <c r="A6" s="790"/>
      <c r="B6" s="791"/>
      <c r="C6" s="243" t="s">
        <v>233</v>
      </c>
      <c r="D6" s="243" t="s">
        <v>234</v>
      </c>
      <c r="E6" s="243" t="s">
        <v>235</v>
      </c>
      <c r="F6" s="794"/>
      <c r="G6" s="249" t="s">
        <v>454</v>
      </c>
      <c r="H6" s="249" t="s">
        <v>455</v>
      </c>
      <c r="I6" s="249" t="s">
        <v>467</v>
      </c>
      <c r="J6" s="249" t="s">
        <v>466</v>
      </c>
      <c r="K6" s="249" t="s">
        <v>465</v>
      </c>
      <c r="L6" s="249" t="s">
        <v>464</v>
      </c>
    </row>
    <row r="7" spans="1:13" ht="21">
      <c r="A7" s="798" t="s">
        <v>236</v>
      </c>
      <c r="B7" s="799"/>
      <c r="C7" s="243"/>
      <c r="D7" s="243"/>
      <c r="E7" s="243"/>
      <c r="F7" s="250"/>
      <c r="G7" s="800">
        <f>SUM(G8:L9)</f>
        <v>16047931</v>
      </c>
      <c r="H7" s="801"/>
      <c r="I7" s="801"/>
      <c r="J7" s="801"/>
      <c r="K7" s="801"/>
      <c r="L7" s="802"/>
      <c r="M7" s="256">
        <f>SUM(G7:L7)</f>
        <v>16047931</v>
      </c>
    </row>
    <row r="8" spans="1:13" ht="16.5">
      <c r="A8" s="798" t="s">
        <v>237</v>
      </c>
      <c r="B8" s="799"/>
      <c r="C8" s="251"/>
      <c r="D8" s="251"/>
      <c r="E8" s="251"/>
      <c r="F8" s="252"/>
      <c r="G8" s="253">
        <f>'勾稽 (2)'!D25</f>
        <v>1074470</v>
      </c>
      <c r="H8" s="253">
        <f>'勾稽 (2)'!D26</f>
        <v>1074527</v>
      </c>
      <c r="I8" s="253">
        <f>'勾稽 (2)'!D27</f>
        <v>13248266</v>
      </c>
      <c r="J8" s="253">
        <f>'勾稽 (2)'!D28</f>
        <v>0</v>
      </c>
      <c r="K8" s="253">
        <f>'勾稽 (2)'!D29</f>
        <v>500</v>
      </c>
      <c r="L8" s="253">
        <f>'勾稽 (2)'!D30</f>
        <v>650168</v>
      </c>
      <c r="M8" s="256">
        <f>SUM(G8:L8)</f>
        <v>16047931</v>
      </c>
    </row>
    <row r="9" spans="1:13" ht="16.5">
      <c r="A9" s="403"/>
      <c r="B9" s="404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</row>
    <row r="10" spans="1:13" ht="16.5">
      <c r="A10" s="798" t="s">
        <v>238</v>
      </c>
      <c r="B10" s="799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61856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61856</v>
      </c>
    </row>
    <row r="11" spans="1:13" ht="16.5">
      <c r="A11" s="282" t="s">
        <v>239</v>
      </c>
      <c r="B11" s="283"/>
      <c r="C11" s="254"/>
      <c r="D11" s="254"/>
      <c r="E11" s="254"/>
      <c r="F11" s="252"/>
      <c r="G11" s="257"/>
      <c r="H11" s="257"/>
      <c r="I11" s="257">
        <v>13550</v>
      </c>
      <c r="J11" s="257"/>
      <c r="K11" s="257"/>
      <c r="L11" s="257"/>
      <c r="M11" s="256"/>
    </row>
    <row r="12" spans="1:13" ht="16.5">
      <c r="A12" s="282" t="s">
        <v>240</v>
      </c>
      <c r="B12" s="283"/>
      <c r="C12" s="254"/>
      <c r="D12" s="254"/>
      <c r="E12" s="254"/>
      <c r="F12" s="252"/>
      <c r="G12" s="257"/>
      <c r="H12" s="257"/>
      <c r="I12" s="257">
        <v>29811</v>
      </c>
      <c r="J12" s="257"/>
      <c r="K12" s="257"/>
      <c r="L12" s="257"/>
      <c r="M12" s="256"/>
    </row>
    <row r="13" spans="1:13" ht="16.5">
      <c r="A13" s="282" t="s">
        <v>241</v>
      </c>
      <c r="B13" s="283"/>
      <c r="C13" s="254"/>
      <c r="D13" s="254"/>
      <c r="E13" s="254"/>
      <c r="F13" s="252"/>
      <c r="G13" s="257"/>
      <c r="H13" s="257"/>
      <c r="I13" s="257">
        <v>18495</v>
      </c>
      <c r="J13" s="257"/>
      <c r="K13" s="257"/>
      <c r="L13" s="257"/>
      <c r="M13" s="256"/>
    </row>
    <row r="14" spans="1:13" ht="16.5">
      <c r="A14" s="783" t="s">
        <v>242</v>
      </c>
      <c r="B14" s="799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99237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99237</v>
      </c>
    </row>
    <row r="15" spans="1:13" ht="16.5">
      <c r="A15" s="282" t="s">
        <v>239</v>
      </c>
      <c r="B15" s="283"/>
      <c r="C15" s="259"/>
      <c r="D15" s="259"/>
      <c r="E15" s="259"/>
      <c r="F15" s="252"/>
      <c r="G15" s="260"/>
      <c r="H15" s="260"/>
      <c r="I15" s="260">
        <v>6384</v>
      </c>
      <c r="J15" s="260"/>
      <c r="K15" s="260"/>
      <c r="L15" s="260"/>
    </row>
    <row r="16" spans="1:13" ht="16.5">
      <c r="A16" s="282" t="s">
        <v>240</v>
      </c>
      <c r="B16" s="283"/>
      <c r="C16" s="259"/>
      <c r="D16" s="259"/>
      <c r="E16" s="259"/>
      <c r="F16" s="261"/>
      <c r="G16" s="260"/>
      <c r="H16" s="260"/>
      <c r="I16" s="260">
        <v>1040</v>
      </c>
      <c r="J16" s="260"/>
      <c r="K16" s="260"/>
      <c r="L16" s="260"/>
    </row>
    <row r="17" spans="1:13" ht="16.5">
      <c r="A17" s="282" t="s">
        <v>241</v>
      </c>
      <c r="B17" s="283"/>
      <c r="C17" s="259"/>
      <c r="D17" s="259"/>
      <c r="E17" s="259"/>
      <c r="F17" s="252"/>
      <c r="G17" s="260"/>
      <c r="H17" s="260"/>
      <c r="I17" s="260">
        <v>6000</v>
      </c>
      <c r="J17" s="260"/>
      <c r="K17" s="260"/>
      <c r="L17" s="260"/>
    </row>
    <row r="18" spans="1:13" ht="16.5">
      <c r="A18" s="282" t="s">
        <v>243</v>
      </c>
      <c r="B18" s="283"/>
      <c r="C18" s="259"/>
      <c r="D18" s="259"/>
      <c r="E18" s="259"/>
      <c r="F18" s="252"/>
      <c r="G18" s="260"/>
      <c r="H18" s="260"/>
      <c r="I18" s="260">
        <v>327</v>
      </c>
      <c r="J18" s="260"/>
      <c r="K18" s="260"/>
      <c r="L18" s="260"/>
      <c r="M18" s="244"/>
    </row>
    <row r="19" spans="1:13" ht="16.5">
      <c r="A19" s="282" t="s">
        <v>244</v>
      </c>
      <c r="B19" s="283"/>
      <c r="C19" s="259"/>
      <c r="D19" s="259"/>
      <c r="E19" s="259"/>
      <c r="F19" s="252"/>
      <c r="G19" s="260"/>
      <c r="H19" s="260"/>
      <c r="I19" s="260">
        <v>1200</v>
      </c>
      <c r="J19" s="260"/>
      <c r="K19" s="260"/>
      <c r="L19" s="260"/>
      <c r="M19" s="244"/>
    </row>
    <row r="20" spans="1:13" ht="16.5">
      <c r="A20" s="282" t="s">
        <v>245</v>
      </c>
      <c r="B20" s="283"/>
      <c r="C20" s="259"/>
      <c r="D20" s="259"/>
      <c r="E20" s="259"/>
      <c r="F20" s="252"/>
      <c r="G20" s="260"/>
      <c r="H20" s="260"/>
      <c r="I20" s="260">
        <v>7112</v>
      </c>
      <c r="J20" s="260"/>
      <c r="K20" s="260"/>
      <c r="L20" s="260"/>
      <c r="M20" s="244"/>
    </row>
    <row r="21" spans="1:13" ht="16.5">
      <c r="A21" s="282" t="s">
        <v>246</v>
      </c>
      <c r="B21" s="283"/>
      <c r="C21" s="259"/>
      <c r="D21" s="259"/>
      <c r="E21" s="259"/>
      <c r="F21" s="252"/>
      <c r="G21" s="260"/>
      <c r="H21" s="260"/>
      <c r="I21" s="260">
        <v>601</v>
      </c>
      <c r="J21" s="260"/>
      <c r="K21" s="260"/>
      <c r="L21" s="260"/>
      <c r="M21" s="244"/>
    </row>
    <row r="22" spans="1:13" ht="16.5">
      <c r="A22" s="282" t="s">
        <v>247</v>
      </c>
      <c r="B22" s="283"/>
      <c r="C22" s="259"/>
      <c r="D22" s="259"/>
      <c r="E22" s="259"/>
      <c r="F22" s="252"/>
      <c r="G22" s="260"/>
      <c r="H22" s="260"/>
      <c r="I22" s="260">
        <v>21475</v>
      </c>
      <c r="J22" s="260"/>
      <c r="K22" s="260"/>
      <c r="L22" s="260"/>
      <c r="M22" s="244"/>
    </row>
    <row r="23" spans="1:13" ht="16.5">
      <c r="A23" s="282" t="s">
        <v>248</v>
      </c>
      <c r="B23" s="283"/>
      <c r="C23" s="259"/>
      <c r="D23" s="259"/>
      <c r="E23" s="259"/>
      <c r="F23" s="252"/>
      <c r="G23" s="260"/>
      <c r="H23" s="260"/>
      <c r="I23" s="260">
        <v>5000</v>
      </c>
      <c r="J23" s="260"/>
      <c r="K23" s="260"/>
      <c r="L23" s="260"/>
      <c r="M23" s="244"/>
    </row>
    <row r="24" spans="1:13" ht="16.5">
      <c r="A24" s="282" t="s">
        <v>249</v>
      </c>
      <c r="B24" s="283"/>
      <c r="C24" s="259"/>
      <c r="D24" s="259"/>
      <c r="E24" s="259"/>
      <c r="F24" s="252"/>
      <c r="G24" s="260"/>
      <c r="H24" s="260"/>
      <c r="I24" s="260">
        <v>1156</v>
      </c>
      <c r="J24" s="260"/>
      <c r="K24" s="260"/>
      <c r="L24" s="260"/>
      <c r="M24" s="244"/>
    </row>
    <row r="25" spans="1:13" ht="16.5">
      <c r="A25" s="282" t="s">
        <v>250</v>
      </c>
      <c r="B25" s="283"/>
      <c r="C25" s="259"/>
      <c r="D25" s="259"/>
      <c r="E25" s="259"/>
      <c r="F25" s="252"/>
      <c r="G25" s="260"/>
      <c r="H25" s="260"/>
      <c r="I25" s="260">
        <v>48942</v>
      </c>
      <c r="J25" s="260"/>
      <c r="K25" s="260"/>
      <c r="L25" s="260"/>
      <c r="M25" s="244"/>
    </row>
    <row r="26" spans="1:13" ht="16.5">
      <c r="A26" s="282" t="s">
        <v>251</v>
      </c>
      <c r="B26" s="283"/>
      <c r="C26" s="259"/>
      <c r="D26" s="259"/>
      <c r="E26" s="259"/>
      <c r="F26" s="252"/>
      <c r="G26" s="260"/>
      <c r="H26" s="260"/>
      <c r="I26" s="260"/>
      <c r="J26" s="260"/>
      <c r="K26" s="260"/>
      <c r="L26" s="260"/>
      <c r="M26" s="244"/>
    </row>
    <row r="27" spans="1:13" ht="16.5">
      <c r="A27" s="282" t="s">
        <v>252</v>
      </c>
      <c r="B27" s="283"/>
      <c r="C27" s="259"/>
      <c r="D27" s="259"/>
      <c r="E27" s="259"/>
      <c r="F27" s="252"/>
      <c r="G27" s="260"/>
      <c r="H27" s="260"/>
      <c r="I27" s="260"/>
      <c r="J27" s="260"/>
      <c r="K27" s="260"/>
      <c r="L27" s="260"/>
      <c r="M27" s="244"/>
    </row>
    <row r="28" spans="1:13" ht="16.5">
      <c r="A28" s="282" t="s">
        <v>253</v>
      </c>
      <c r="B28" s="283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2" t="s">
        <v>254</v>
      </c>
      <c r="B29" s="283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2" t="s">
        <v>255</v>
      </c>
      <c r="B30" s="283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2" t="s">
        <v>256</v>
      </c>
      <c r="B31" s="283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2" t="s">
        <v>257</v>
      </c>
      <c r="B32" s="283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2" t="s">
        <v>258</v>
      </c>
      <c r="B33" s="283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2" t="s">
        <v>259</v>
      </c>
      <c r="B34" s="283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783" t="s">
        <v>270</v>
      </c>
      <c r="B35" s="784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  <c r="N35" s="264"/>
    </row>
    <row r="36" spans="1:15" ht="16.5">
      <c r="A36" s="282" t="s">
        <v>271</v>
      </c>
      <c r="B36" s="283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2" t="s">
        <v>240</v>
      </c>
      <c r="B37" s="283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2" t="s">
        <v>241</v>
      </c>
      <c r="B38" s="283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783" t="s">
        <v>272</v>
      </c>
      <c r="B39" s="784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  <c r="N39" s="264"/>
    </row>
    <row r="40" spans="1:15" ht="16.5">
      <c r="A40" s="282" t="s">
        <v>271</v>
      </c>
      <c r="B40" s="283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2" t="s">
        <v>240</v>
      </c>
      <c r="B41" s="283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2" t="s">
        <v>241</v>
      </c>
      <c r="B42" s="283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798" t="s">
        <v>273</v>
      </c>
      <c r="B43" s="799"/>
      <c r="C43" s="254"/>
      <c r="D43" s="254"/>
      <c r="E43" s="254"/>
      <c r="F43" s="252"/>
      <c r="G43" s="268">
        <f>G8+G10+G14-G35-G39</f>
        <v>1074470</v>
      </c>
      <c r="H43" s="268">
        <f t="shared" ref="H43:L43" si="8">H8+H10+H14-H35-H39</f>
        <v>1074527</v>
      </c>
      <c r="I43" s="268">
        <f t="shared" si="8"/>
        <v>13409359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650168</v>
      </c>
      <c r="M43" s="256">
        <f>SUM(G43:L43)</f>
        <v>16209024</v>
      </c>
      <c r="N43" s="269"/>
      <c r="O43" s="270"/>
    </row>
    <row r="44" spans="1:15" ht="16.5">
      <c r="A44" s="403"/>
      <c r="B44" s="404" t="s">
        <v>423</v>
      </c>
      <c r="C44" s="254"/>
      <c r="D44" s="254"/>
      <c r="E44" s="254"/>
      <c r="F44" s="252"/>
      <c r="G44" s="402">
        <f>G9</f>
        <v>0</v>
      </c>
      <c r="H44" s="402">
        <f t="shared" ref="H44:L44" si="10">H9</f>
        <v>0</v>
      </c>
      <c r="I44" s="402">
        <f t="shared" si="10"/>
        <v>0</v>
      </c>
      <c r="J44" s="402">
        <f t="shared" si="10"/>
        <v>0</v>
      </c>
      <c r="K44" s="402">
        <f t="shared" ref="K44" si="11">K9</f>
        <v>0</v>
      </c>
      <c r="L44" s="402">
        <f t="shared" si="10"/>
        <v>0</v>
      </c>
      <c r="M44" s="256">
        <f>SUM(G44:L44)</f>
        <v>0</v>
      </c>
      <c r="N44" s="269"/>
      <c r="O44" s="270"/>
    </row>
    <row r="45" spans="1:15" ht="21">
      <c r="A45" s="798" t="s">
        <v>274</v>
      </c>
      <c r="B45" s="799"/>
      <c r="C45" s="254"/>
      <c r="D45" s="254"/>
      <c r="E45" s="254"/>
      <c r="F45" s="252"/>
      <c r="G45" s="803">
        <f>SUM(G43:L44)</f>
        <v>16209024</v>
      </c>
      <c r="H45" s="804"/>
      <c r="I45" s="804"/>
      <c r="J45" s="804"/>
      <c r="K45" s="804"/>
      <c r="L45" s="805"/>
      <c r="M45" s="256">
        <f>SUM(G45:L45)</f>
        <v>16209024</v>
      </c>
      <c r="N45" s="269"/>
      <c r="O45" s="270"/>
    </row>
    <row r="46" spans="1:15" ht="16.5">
      <c r="B46" s="271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2"/>
      <c r="O46" s="273"/>
    </row>
    <row r="47" spans="1:15" ht="16.5">
      <c r="B47" s="271" t="s">
        <v>469</v>
      </c>
      <c r="C47" s="806" t="s">
        <v>470</v>
      </c>
      <c r="D47" s="806"/>
      <c r="E47" s="806"/>
      <c r="F47" s="806"/>
      <c r="G47" s="274"/>
      <c r="H47" s="274" t="s">
        <v>260</v>
      </c>
      <c r="I47" s="274"/>
      <c r="J47" s="274"/>
      <c r="K47" s="274"/>
      <c r="L47" s="248"/>
      <c r="N47" s="275"/>
      <c r="O47" s="273"/>
    </row>
    <row r="48" spans="1:15" s="429" customFormat="1" ht="16.5">
      <c r="B48" s="422"/>
      <c r="C48" s="423"/>
      <c r="D48" s="423"/>
      <c r="E48" s="423"/>
      <c r="F48" s="423" t="s">
        <v>426</v>
      </c>
      <c r="G48" s="424">
        <v>1074470</v>
      </c>
      <c r="H48" s="424">
        <v>1074527</v>
      </c>
      <c r="I48" s="424">
        <v>13409359</v>
      </c>
      <c r="J48" s="424">
        <v>0</v>
      </c>
      <c r="K48" s="424">
        <v>500</v>
      </c>
      <c r="L48" s="424">
        <v>650168</v>
      </c>
      <c r="M48" s="430"/>
      <c r="N48" s="425"/>
      <c r="O48" s="426"/>
    </row>
    <row r="49" spans="3:16" s="429" customFormat="1" ht="16.5">
      <c r="C49" s="431"/>
      <c r="D49" s="431"/>
      <c r="E49" s="431"/>
      <c r="F49" s="431"/>
      <c r="G49" s="432">
        <f>G43-G48</f>
        <v>0</v>
      </c>
      <c r="H49" s="432">
        <f t="shared" ref="H49:L49" si="12">H43-H48</f>
        <v>0</v>
      </c>
      <c r="I49" s="432">
        <f t="shared" si="12"/>
        <v>0</v>
      </c>
      <c r="J49" s="432">
        <f t="shared" si="12"/>
        <v>0</v>
      </c>
      <c r="K49" s="432">
        <f t="shared" ref="K49" si="13">K43-K48</f>
        <v>0</v>
      </c>
      <c r="L49" s="432">
        <f t="shared" si="12"/>
        <v>0</v>
      </c>
      <c r="M49" s="430"/>
      <c r="N49" s="427"/>
      <c r="O49" s="428"/>
      <c r="P49" s="428"/>
    </row>
    <row r="50" spans="3:16" ht="16.5">
      <c r="N50" s="277"/>
      <c r="O50" s="277"/>
      <c r="P50" s="277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5:E38">
    <cfRule type="expression" dxfId="10" priority="10" stopIfTrue="1">
      <formula>AND($N15&gt;0,$N15=$O15)</formula>
    </cfRule>
  </conditionalFormatting>
  <conditionalFormatting sqref="C39:E42">
    <cfRule type="expression" dxfId="9" priority="8" stopIfTrue="1">
      <formula>AND($N39&gt;0,$N39=$O39)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49:L49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597" t="s">
        <v>143</v>
      </c>
      <c r="B1" s="597"/>
    </row>
    <row r="2" spans="1:8">
      <c r="A2" s="598" t="s">
        <v>144</v>
      </c>
      <c r="B2" s="597"/>
    </row>
    <row r="3" spans="1:8">
      <c r="A3" s="597" t="s">
        <v>145</v>
      </c>
      <c r="B3" s="597"/>
    </row>
    <row r="4" spans="1:8" ht="28.5">
      <c r="A4" s="597" t="s">
        <v>146</v>
      </c>
      <c r="B4" s="597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598" t="s">
        <v>147</v>
      </c>
      <c r="B5" s="597"/>
      <c r="C5" s="152" t="str">
        <f>VLOOKUP("應付費用",平衡!$N$13:$T$113,4,0)</f>
        <v>210204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9572000</v>
      </c>
    </row>
    <row r="6" spans="1:8" ht="15" thickBot="1">
      <c r="A6" s="595" t="s">
        <v>148</v>
      </c>
      <c r="B6" s="596"/>
      <c r="C6" s="150" t="s">
        <v>162</v>
      </c>
      <c r="D6" s="165">
        <f>VLOOKUP("銀行存款-縣庫存款",平衡!$E$13:$H$90,4,0)+VLOOKUP("零用及週轉金",平衡!$D$13:$H$90,5,0)</f>
        <v>8260805</v>
      </c>
      <c r="E6" s="165" t="e">
        <f>VLOOKUP("基金餘額",平衡!$K$13:$T$113,7,0)+C5</f>
        <v>#N/A</v>
      </c>
      <c r="F6" s="136" t="s">
        <v>161</v>
      </c>
    </row>
    <row r="7" spans="1:8" ht="15" thickBot="1">
      <c r="A7" s="595" t="s">
        <v>149</v>
      </c>
      <c r="B7" s="596"/>
      <c r="C7" s="150" t="s">
        <v>163</v>
      </c>
      <c r="D7" s="165">
        <f>VLOOKUP("銀行存款-專戶存款",平衡!$E$13:$H$90,4,0)+VLOOKUP("其他預付款",平衡!$D$13:$H$90,5,0)</f>
        <v>17396326</v>
      </c>
      <c r="E7" s="165">
        <f>VLOOKUP("應付代收款",平衡!$N$13:$T$90,7,0)+VLOOKUP("存入保證金",平衡!$N$13:$T$90,7,0)</f>
        <v>17396326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VLOOKUP("合計：",平衡!$A$13:$H$90,8,0)</f>
        <v>358971093</v>
      </c>
      <c r="E8" s="166">
        <f>VLOOKUP("合計：",平衡!$K$13:$T$90,10,0)</f>
        <v>358971093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VLOOKUP("基金用途",餘絀表!$C$16:$T$47,18,0)</f>
        <v>56084211</v>
      </c>
      <c r="E9" s="166">
        <f>VLOOKUP("合       計",各項費用!$D$12:$Q$86,14)</f>
        <v>56084211</v>
      </c>
      <c r="F9" s="166" t="e">
        <f>縣庫對帳!P3</f>
        <v>#N/A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VLOOKUP("基金來源",餘絀表!$C$16:$T$47,18,0)</f>
        <v>55728716</v>
      </c>
      <c r="E10" s="166">
        <f>縣庫對帳!N3</f>
        <v>55728716</v>
      </c>
      <c r="F10" s="166"/>
      <c r="G10" s="166"/>
      <c r="H10" s="132" t="e">
        <f>D13-E13</f>
        <v>#N/A</v>
      </c>
    </row>
    <row r="11" spans="1:8" ht="27" customHeight="1">
      <c r="A11" s="590" t="s">
        <v>27</v>
      </c>
      <c r="B11" s="590" t="s">
        <v>129</v>
      </c>
      <c r="C11" s="150" t="s">
        <v>318</v>
      </c>
      <c r="D11" s="166">
        <f>VLOOKUP("政府撥入收入",餘絀表!$C$16:$T$47,18,0)</f>
        <v>55583255</v>
      </c>
      <c r="E11" s="166"/>
      <c r="F11" s="166">
        <f>VLOOKUP("政府撥入收入",收支!$B$14:$N$64,13,0)</f>
        <v>55583255</v>
      </c>
      <c r="G11" s="166">
        <f>VLOOKUP("政府撥入收入",對照表!$B$1:$E$29,4,0)</f>
        <v>55583255</v>
      </c>
    </row>
    <row r="12" spans="1:8" ht="28.5">
      <c r="A12" s="593"/>
      <c r="B12" s="593"/>
      <c r="C12" s="150" t="s">
        <v>319</v>
      </c>
      <c r="D12" s="166"/>
      <c r="E12" s="166"/>
      <c r="F12" s="166">
        <f>VLOOKUP("收入",收支!$A$14:$N$64,14,0)</f>
        <v>56376436</v>
      </c>
      <c r="G12" s="166">
        <f>VLOOKUP("基金來源",對照表!$A$1:$E$29,5,0)</f>
        <v>56376436</v>
      </c>
    </row>
    <row r="13" spans="1:8">
      <c r="A13" s="593"/>
      <c r="B13" s="593"/>
      <c r="C13" s="150" t="s">
        <v>304</v>
      </c>
      <c r="D13" s="166" t="e">
        <f>IF(封面!J10=12,0,VLOOKUP($G$13,平衡!$N$13:$T$90,7,0))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-3684593</v>
      </c>
      <c r="G13" s="164" t="e">
        <f>IF(E13&gt;=0,"本期賸餘","本期短絀")</f>
        <v>#N/A</v>
      </c>
    </row>
    <row r="14" spans="1:8">
      <c r="A14" s="593"/>
      <c r="B14" s="593"/>
      <c r="C14" s="150" t="s">
        <v>305</v>
      </c>
      <c r="D14" s="166">
        <f>IF(封面!J10=12,0,VLOOKUP("本期賸餘(短絀－)",餘絀表!$C$16:$T$50,18,0))</f>
        <v>-355495</v>
      </c>
      <c r="E14" s="166"/>
      <c r="F14" s="166">
        <f>IF(封面!K11=12,0,VLOOKUP("本期賸餘(短絀)",對照表!$A$1:$C$29,3,0))</f>
        <v>-355495</v>
      </c>
      <c r="G14" s="164"/>
    </row>
    <row r="15" spans="1:8">
      <c r="A15" s="593"/>
      <c r="B15" s="593"/>
      <c r="C15" s="150" t="s">
        <v>306</v>
      </c>
      <c r="D15" s="166">
        <f>IF(封面!J12=12,0,VLOOKUP($G$15,平衡!$K$13:$T$90,10,0))</f>
        <v>339425770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594"/>
      <c r="B16" s="594"/>
      <c r="C16" s="150" t="s">
        <v>152</v>
      </c>
      <c r="D16" s="166">
        <f>VLOOKUP("國民教育計畫",主要業務!$B$15:$J$23,7,0)</f>
        <v>9483516</v>
      </c>
      <c r="E16" s="166">
        <f>VLOOKUP("國民教育計畫",餘絀表!$C$16:$T$47,9,0)</f>
        <v>0</v>
      </c>
    </row>
    <row r="17" spans="1:8">
      <c r="A17" s="590" t="s">
        <v>141</v>
      </c>
      <c r="B17" s="590" t="s">
        <v>130</v>
      </c>
      <c r="C17" s="150" t="s">
        <v>153</v>
      </c>
      <c r="D17" s="166">
        <f>主要業務!H17</f>
        <v>56084211</v>
      </c>
      <c r="E17" s="166">
        <f>VLOOKUP("國民教育計畫",餘絀表!$C$16:$T$47,18,0)</f>
        <v>56084211</v>
      </c>
    </row>
    <row r="18" spans="1:8">
      <c r="A18" s="591"/>
      <c r="B18" s="593"/>
      <c r="C18" s="150" t="s">
        <v>154</v>
      </c>
      <c r="D18" s="166">
        <f>主要業務!H20</f>
        <v>0</v>
      </c>
      <c r="E18" s="166">
        <f>VLOOKUP("建築及設備計畫",餘絀表!$C$16:$T$47,9,0)</f>
        <v>0</v>
      </c>
    </row>
    <row r="19" spans="1:8">
      <c r="A19" s="591"/>
      <c r="B19" s="593"/>
      <c r="C19" s="150" t="s">
        <v>155</v>
      </c>
      <c r="D19" s="166">
        <f>主要業務!H22</f>
        <v>0</v>
      </c>
      <c r="E19" s="166">
        <f>VLOOKUP("建築及設備計畫",餘絀表!$C$16:$T$47,18,0)</f>
        <v>0</v>
      </c>
    </row>
    <row r="20" spans="1:8">
      <c r="A20" s="591"/>
      <c r="B20" s="593"/>
      <c r="C20" s="150" t="s">
        <v>308</v>
      </c>
      <c r="D20" s="166">
        <f>VLOOKUP("用人費用",各項費用!$F$12:$Q$100,12,0)</f>
        <v>54898259</v>
      </c>
      <c r="E20" s="166">
        <f>VLOOKUP("人事支出",收支!$B$14:$N$64,13,0)</f>
        <v>54898259</v>
      </c>
      <c r="F20" s="166">
        <f>VLOOKUP("用人費用",對照表!$B$1:$E$29,4,0)</f>
        <v>54898259</v>
      </c>
    </row>
    <row r="21" spans="1:8">
      <c r="A21" s="591"/>
      <c r="B21" s="593"/>
      <c r="C21" s="150" t="s">
        <v>309</v>
      </c>
      <c r="D21" s="166">
        <f>IF(E21=0,0,資產!F10+H21)</f>
        <v>4154154</v>
      </c>
      <c r="E21" s="166">
        <f>VLOOKUP("折舊、折耗及攤銷",收支!$B$14:$N$64,13,0)</f>
        <v>3974073</v>
      </c>
      <c r="F21" s="166">
        <f>VLOOKUP("折舊、折耗及攤銷",對照表!$H$1:$J$29,3,0)</f>
        <v>3974073</v>
      </c>
      <c r="G21" s="363" t="s">
        <v>320</v>
      </c>
      <c r="H21" s="364">
        <f>464532-4645</f>
        <v>459887</v>
      </c>
    </row>
    <row r="22" spans="1:8">
      <c r="A22" s="591"/>
      <c r="B22" s="593"/>
      <c r="C22" s="150" t="s">
        <v>280</v>
      </c>
      <c r="D22" s="165">
        <v>0</v>
      </c>
      <c r="E22" s="165"/>
      <c r="F22" s="135"/>
    </row>
    <row r="23" spans="1:8">
      <c r="A23" s="591"/>
      <c r="B23" s="593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591"/>
      <c r="B24" s="593"/>
      <c r="C24" s="150" t="s">
        <v>283</v>
      </c>
      <c r="D24" s="165"/>
      <c r="E24" s="165"/>
      <c r="F24" s="135" t="s">
        <v>284</v>
      </c>
    </row>
    <row r="25" spans="1:8">
      <c r="A25" s="591"/>
      <c r="B25" s="593"/>
      <c r="C25" s="150" t="s">
        <v>285</v>
      </c>
      <c r="D25" s="165">
        <v>0</v>
      </c>
      <c r="E25" s="165"/>
      <c r="F25" s="135"/>
    </row>
    <row r="26" spans="1:8" ht="15" thickBot="1">
      <c r="A26" s="592"/>
      <c r="B26" s="594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590" t="s">
        <v>135</v>
      </c>
      <c r="B30" s="590" t="s">
        <v>136</v>
      </c>
      <c r="D30" s="166"/>
      <c r="E30" s="166"/>
      <c r="F30" s="153"/>
    </row>
    <row r="31" spans="1:8">
      <c r="A31" s="593"/>
      <c r="B31" s="593"/>
      <c r="D31" s="166"/>
      <c r="E31" s="166"/>
      <c r="F31" s="153"/>
    </row>
    <row r="32" spans="1:8" ht="15" thickBot="1">
      <c r="A32" s="592"/>
      <c r="B32" s="592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9" priority="71" stopIfTrue="1">
      <formula>$D$16&lt;&gt;$E$16</formula>
    </cfRule>
  </conditionalFormatting>
  <conditionalFormatting sqref="D32:E32">
    <cfRule type="expression" dxfId="88" priority="64" stopIfTrue="1">
      <formula>$D$32&lt;&gt;$E$32</formula>
    </cfRule>
  </conditionalFormatting>
  <conditionalFormatting sqref="D17:E17">
    <cfRule type="expression" dxfId="87" priority="62" stopIfTrue="1">
      <formula>$D17&lt;&gt;$E17</formula>
    </cfRule>
  </conditionalFormatting>
  <conditionalFormatting sqref="D18:E18 E19">
    <cfRule type="expression" dxfId="86" priority="61" stopIfTrue="1">
      <formula>$D$18&lt;&gt;$E$18</formula>
    </cfRule>
  </conditionalFormatting>
  <conditionalFormatting sqref="E28">
    <cfRule type="expression" dxfId="85" priority="55" stopIfTrue="1">
      <formula>$D$30&lt;&gt;$E$30</formula>
    </cfRule>
  </conditionalFormatting>
  <conditionalFormatting sqref="E29">
    <cfRule type="expression" dxfId="84" priority="54" stopIfTrue="1">
      <formula>$F$31&lt;&gt;0</formula>
    </cfRule>
  </conditionalFormatting>
  <conditionalFormatting sqref="E30">
    <cfRule type="expression" dxfId="83" priority="51" stopIfTrue="1">
      <formula>$D$30&lt;&gt;$E$30</formula>
    </cfRule>
  </conditionalFormatting>
  <conditionalFormatting sqref="E31">
    <cfRule type="expression" dxfId="82" priority="50" stopIfTrue="1">
      <formula>$F$31&lt;&gt;0</formula>
    </cfRule>
  </conditionalFormatting>
  <conditionalFormatting sqref="D27 D22:E23">
    <cfRule type="expression" dxfId="81" priority="48" stopIfTrue="1">
      <formula>$D23&lt;&gt;$E23</formula>
    </cfRule>
  </conditionalFormatting>
  <conditionalFormatting sqref="E28">
    <cfRule type="expression" dxfId="80" priority="47" stopIfTrue="1">
      <formula>$D$30&lt;&gt;$E$30</formula>
    </cfRule>
  </conditionalFormatting>
  <conditionalFormatting sqref="E28">
    <cfRule type="expression" dxfId="79" priority="46" stopIfTrue="1">
      <formula>$D28&lt;&gt;$E28</formula>
    </cfRule>
  </conditionalFormatting>
  <conditionalFormatting sqref="D28">
    <cfRule type="expression" dxfId="78" priority="45" stopIfTrue="1">
      <formula>$D28&lt;&gt;$E28</formula>
    </cfRule>
  </conditionalFormatting>
  <conditionalFormatting sqref="D24:D26">
    <cfRule type="expression" dxfId="77" priority="44" stopIfTrue="1">
      <formula>$D24&lt;&gt;$E24</formula>
    </cfRule>
  </conditionalFormatting>
  <conditionalFormatting sqref="D27">
    <cfRule type="expression" dxfId="76" priority="43" stopIfTrue="1">
      <formula>$D27&lt;&gt;$E27</formula>
    </cfRule>
  </conditionalFormatting>
  <conditionalFormatting sqref="D14 F14:F15">
    <cfRule type="expression" dxfId="75" priority="42">
      <formula>$D$14&lt;&gt;$F$14</formula>
    </cfRule>
  </conditionalFormatting>
  <conditionalFormatting sqref="F15">
    <cfRule type="expression" dxfId="74" priority="34">
      <formula>$E$15&lt;&gt;$F$15</formula>
    </cfRule>
    <cfRule type="expression" dxfId="73" priority="35">
      <formula>$D$15&lt;&gt;$F$15</formula>
    </cfRule>
    <cfRule type="expression" dxfId="72" priority="40">
      <formula>$D$14&lt;&gt;$F$14</formula>
    </cfRule>
  </conditionalFormatting>
  <conditionalFormatting sqref="D15">
    <cfRule type="expression" dxfId="71" priority="38">
      <formula>$D$15&lt;&gt;$F$15</formula>
    </cfRule>
    <cfRule type="expression" dxfId="70" priority="39">
      <formula>$D$15&lt;&gt;$E$15</formula>
    </cfRule>
  </conditionalFormatting>
  <conditionalFormatting sqref="E15">
    <cfRule type="expression" dxfId="69" priority="36">
      <formula>$E$15&lt;&gt;$F$15</formula>
    </cfRule>
    <cfRule type="expression" dxfId="68" priority="37">
      <formula>$D$15&lt;&gt;$E$15</formula>
    </cfRule>
  </conditionalFormatting>
  <conditionalFormatting sqref="D7:E7">
    <cfRule type="expression" dxfId="67" priority="33">
      <formula>$D$7&lt;&gt;$E$7</formula>
    </cfRule>
  </conditionalFormatting>
  <conditionalFormatting sqref="D8:E8">
    <cfRule type="expression" dxfId="66" priority="32">
      <formula>$D$8&lt;&gt;$E$8</formula>
    </cfRule>
  </conditionalFormatting>
  <conditionalFormatting sqref="E16:E17">
    <cfRule type="expression" dxfId="65" priority="74" stopIfTrue="1">
      <formula>#REF!&lt;&gt;#REF!</formula>
    </cfRule>
  </conditionalFormatting>
  <conditionalFormatting sqref="E18:E19">
    <cfRule type="expression" dxfId="64" priority="95" stopIfTrue="1">
      <formula>#REF!&lt;&gt;#REF!</formula>
    </cfRule>
  </conditionalFormatting>
  <conditionalFormatting sqref="E6:E7">
    <cfRule type="expression" dxfId="63" priority="97" stopIfTrue="1">
      <formula>$D13&lt;&gt;$F13</formula>
    </cfRule>
  </conditionalFormatting>
  <conditionalFormatting sqref="D20:F20">
    <cfRule type="expression" dxfId="62" priority="16">
      <formula>$D$20&lt;&gt;$E$20</formula>
    </cfRule>
  </conditionalFormatting>
  <conditionalFormatting sqref="D20:F20">
    <cfRule type="expression" dxfId="61" priority="15">
      <formula>$E$20&lt;&gt;$F$20</formula>
    </cfRule>
  </conditionalFormatting>
  <conditionalFormatting sqref="D21:F21">
    <cfRule type="expression" dxfId="60" priority="10">
      <formula>$D$21&lt;&gt;$E$21</formula>
    </cfRule>
  </conditionalFormatting>
  <conditionalFormatting sqref="D21:F21">
    <cfRule type="expression" dxfId="59" priority="9">
      <formula>$D$21&lt;&gt;$F$21</formula>
    </cfRule>
  </conditionalFormatting>
  <conditionalFormatting sqref="D9:F9">
    <cfRule type="expression" dxfId="58" priority="6">
      <formula>$D$9&lt;&gt;$F$9</formula>
    </cfRule>
    <cfRule type="expression" dxfId="57" priority="7">
      <formula>$D$9&lt;&gt;$E$9</formula>
    </cfRule>
  </conditionalFormatting>
  <conditionalFormatting sqref="D10:G10">
    <cfRule type="expression" dxfId="56" priority="3">
      <formula>$D$10&lt;&gt;$E$10</formula>
    </cfRule>
  </conditionalFormatting>
  <conditionalFormatting sqref="F12:G12">
    <cfRule type="expression" dxfId="5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4" bestFit="1" customWidth="1"/>
    <col min="18" max="18" width="12" style="294" customWidth="1"/>
    <col min="19" max="16384" width="6.85546875" style="3"/>
  </cols>
  <sheetData>
    <row r="1" spans="1:16" ht="19.5">
      <c r="A1" s="685" t="str">
        <f>封面!$A$4</f>
        <v>彰化縣地方教育發展基金－彰化縣彰化市民生國民小學</v>
      </c>
      <c r="B1" s="685"/>
      <c r="C1" s="685"/>
      <c r="D1" s="685"/>
      <c r="E1" s="685"/>
      <c r="F1" s="685"/>
      <c r="G1" s="685"/>
      <c r="H1" s="685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701" t="s">
        <v>38</v>
      </c>
      <c r="B4" s="701"/>
      <c r="C4" s="701"/>
      <c r="D4" s="701"/>
      <c r="E4" s="701"/>
      <c r="F4" s="701"/>
      <c r="G4" s="701"/>
      <c r="H4" s="701"/>
    </row>
    <row r="5" spans="1:16" ht="6.75" customHeight="1"/>
    <row r="6" spans="1:16" ht="16.5">
      <c r="A6" s="686" t="str">
        <f>封面!$E$10&amp;封面!$H$10&amp;封面!$I$10&amp;封面!$J$10&amp;封面!$K$10&amp;封面!L10</f>
        <v>中華民國114年4月份</v>
      </c>
      <c r="B6" s="686"/>
      <c r="C6" s="686"/>
      <c r="D6" s="686"/>
      <c r="E6" s="686"/>
      <c r="F6" s="686"/>
      <c r="G6" s="686"/>
      <c r="H6" s="686"/>
    </row>
    <row r="7" spans="1:16" ht="14.25" customHeight="1">
      <c r="A7" s="638" t="s">
        <v>39</v>
      </c>
      <c r="B7" s="638"/>
      <c r="C7" s="638"/>
      <c r="D7" s="638"/>
      <c r="E7" s="638"/>
      <c r="F7" s="638"/>
      <c r="G7" s="638"/>
      <c r="H7" s="638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11" t="s">
        <v>40</v>
      </c>
      <c r="I9" s="126"/>
    </row>
    <row r="10" spans="1:16" ht="14.25" customHeight="1">
      <c r="A10" s="807" t="s">
        <v>41</v>
      </c>
      <c r="B10" s="809"/>
      <c r="C10" s="816" t="s">
        <v>51</v>
      </c>
      <c r="D10" s="809" t="s">
        <v>52</v>
      </c>
      <c r="E10" s="816" t="s">
        <v>53</v>
      </c>
      <c r="F10" s="816" t="s">
        <v>54</v>
      </c>
      <c r="G10" s="807" t="s">
        <v>42</v>
      </c>
      <c r="H10" s="812"/>
      <c r="I10" s="126"/>
      <c r="K10" s="174" t="s">
        <v>188</v>
      </c>
      <c r="L10" s="174" t="s">
        <v>189</v>
      </c>
      <c r="M10" s="814" t="s">
        <v>202</v>
      </c>
      <c r="N10" s="818" t="s">
        <v>214</v>
      </c>
      <c r="O10" s="815" t="s">
        <v>212</v>
      </c>
    </row>
    <row r="11" spans="1:16" ht="14.25">
      <c r="A11" s="808"/>
      <c r="B11" s="810"/>
      <c r="C11" s="817"/>
      <c r="D11" s="810"/>
      <c r="E11" s="817"/>
      <c r="F11" s="817"/>
      <c r="G11" s="808"/>
      <c r="H11" s="813"/>
      <c r="I11" s="126"/>
      <c r="M11" s="608"/>
      <c r="N11" s="819"/>
      <c r="O11" s="608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4">
        <v>9760300</v>
      </c>
      <c r="R20" s="295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5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4">
        <v>3532484</v>
      </c>
      <c r="R22" s="295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5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4">
        <v>20166512</v>
      </c>
      <c r="R24" s="295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5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4">
        <v>1123223</v>
      </c>
      <c r="R26" s="295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5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4">
        <v>148230</v>
      </c>
      <c r="R28" s="295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5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4">
        <v>667523</v>
      </c>
      <c r="R30" s="295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53" t="s">
        <v>82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4"/>
      <c r="P1" s="854"/>
      <c r="Q1" s="854"/>
      <c r="R1" s="855"/>
    </row>
    <row r="2" spans="1:19">
      <c r="A2" s="856" t="str">
        <f>"茲列出 貴機關"&amp;封面!H10&amp;封面!J10&amp;"01至"&amp;封面!H10&amp;封面!J10&amp;封面!O10&amp;"歲出分配餘額暨支付明細，送請詳加核對"</f>
        <v>茲列出 貴機關114401至114430歲出分配餘額暨支付明細，送請詳加核對</v>
      </c>
      <c r="B2" s="857"/>
      <c r="C2" s="857"/>
      <c r="D2" s="857"/>
      <c r="E2" s="857"/>
      <c r="F2" s="857"/>
      <c r="G2" s="857"/>
      <c r="H2" s="857"/>
      <c r="I2" s="857"/>
      <c r="J2" s="857"/>
      <c r="K2" s="857"/>
      <c r="L2" s="857"/>
      <c r="M2" s="857"/>
      <c r="N2" s="857"/>
      <c r="O2" s="857"/>
      <c r="P2" s="857"/>
      <c r="Q2" s="857"/>
      <c r="R2" s="858"/>
    </row>
    <row r="3" spans="1:19">
      <c r="A3" s="859" t="s">
        <v>83</v>
      </c>
      <c r="B3" s="860"/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860"/>
      <c r="Q3" s="860"/>
      <c r="R3" s="861"/>
    </row>
    <row r="5" spans="1:19">
      <c r="A5" s="30"/>
      <c r="B5" s="31"/>
      <c r="C5" s="831" t="s">
        <v>84</v>
      </c>
      <c r="D5" s="831"/>
      <c r="E5" s="831"/>
      <c r="F5" s="831"/>
      <c r="G5" s="831"/>
      <c r="H5" s="831" t="s">
        <v>85</v>
      </c>
      <c r="I5" s="831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52"/>
      <c r="D6" s="834"/>
      <c r="E6" s="834"/>
      <c r="F6" s="829" t="s">
        <v>87</v>
      </c>
      <c r="G6" s="829"/>
      <c r="H6" s="829"/>
      <c r="I6" s="829"/>
      <c r="J6" s="829"/>
      <c r="K6" s="829"/>
      <c r="R6" s="35"/>
    </row>
    <row r="7" spans="1:19">
      <c r="A7" s="34"/>
      <c r="B7" s="829" t="s">
        <v>88</v>
      </c>
      <c r="C7" s="829"/>
      <c r="D7" s="829"/>
      <c r="E7" s="829"/>
      <c r="F7" s="829"/>
      <c r="G7" s="829"/>
      <c r="H7" s="829"/>
      <c r="I7" s="829"/>
      <c r="R7" s="35"/>
    </row>
    <row r="8" spans="1:19">
      <c r="A8" s="34"/>
      <c r="B8" s="829" t="s">
        <v>89</v>
      </c>
      <c r="C8" s="829"/>
      <c r="D8" s="829"/>
      <c r="E8" s="829"/>
      <c r="F8" s="829"/>
      <c r="G8" s="829"/>
      <c r="H8" s="829"/>
      <c r="I8" s="829"/>
      <c r="R8" s="35"/>
    </row>
    <row r="9" spans="1:19">
      <c r="A9" s="36" t="s">
        <v>90</v>
      </c>
      <c r="B9" s="835" t="s">
        <v>91</v>
      </c>
      <c r="C9" s="835"/>
      <c r="D9" s="835"/>
      <c r="E9" s="835"/>
      <c r="F9" s="835"/>
      <c r="G9" s="835"/>
      <c r="H9" s="835"/>
      <c r="I9" s="835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30" t="s">
        <v>92</v>
      </c>
      <c r="B10" s="831"/>
      <c r="C10" s="831"/>
      <c r="D10" s="832"/>
      <c r="E10" s="830" t="s">
        <v>93</v>
      </c>
      <c r="F10" s="832"/>
      <c r="G10" s="830" t="s">
        <v>94</v>
      </c>
      <c r="H10" s="832"/>
      <c r="I10" s="830" t="s">
        <v>95</v>
      </c>
      <c r="J10" s="832"/>
      <c r="K10" s="830" t="s">
        <v>71</v>
      </c>
      <c r="L10" s="832"/>
      <c r="M10" s="830" t="s">
        <v>96</v>
      </c>
      <c r="N10" s="831"/>
      <c r="O10" s="831"/>
      <c r="P10" s="831"/>
      <c r="Q10" s="831"/>
      <c r="R10" s="832"/>
    </row>
    <row r="11" spans="1:19" ht="52.5" customHeight="1">
      <c r="A11" s="824" t="s">
        <v>97</v>
      </c>
      <c r="B11" s="825"/>
      <c r="C11" s="825"/>
      <c r="D11" s="826"/>
      <c r="E11" s="845" t="s">
        <v>98</v>
      </c>
      <c r="F11" s="846"/>
      <c r="G11" s="820">
        <v>1053704</v>
      </c>
      <c r="H11" s="821"/>
      <c r="I11" s="820">
        <v>365251010501182</v>
      </c>
      <c r="J11" s="821"/>
      <c r="K11" s="822">
        <v>26000</v>
      </c>
      <c r="L11" s="823"/>
      <c r="M11" s="824" t="s">
        <v>99</v>
      </c>
      <c r="N11" s="825"/>
      <c r="O11" s="825"/>
      <c r="P11" s="825"/>
      <c r="Q11" s="825"/>
      <c r="R11" s="826"/>
      <c r="S11" s="39" t="s">
        <v>100</v>
      </c>
    </row>
    <row r="12" spans="1:19" ht="54" customHeight="1">
      <c r="A12" s="824" t="s">
        <v>101</v>
      </c>
      <c r="B12" s="825"/>
      <c r="C12" s="825"/>
      <c r="D12" s="826"/>
      <c r="E12" s="845" t="s">
        <v>102</v>
      </c>
      <c r="F12" s="846"/>
      <c r="G12" s="820">
        <v>1050843</v>
      </c>
      <c r="H12" s="821"/>
      <c r="I12" s="820">
        <v>365251010500989</v>
      </c>
      <c r="J12" s="821"/>
      <c r="K12" s="822">
        <v>129310</v>
      </c>
      <c r="L12" s="823"/>
      <c r="M12" s="824" t="s">
        <v>103</v>
      </c>
      <c r="N12" s="825"/>
      <c r="O12" s="825"/>
      <c r="P12" s="825"/>
      <c r="Q12" s="825"/>
      <c r="R12" s="826"/>
    </row>
    <row r="13" spans="1:19" ht="52.5" customHeight="1">
      <c r="A13" s="824" t="s">
        <v>104</v>
      </c>
      <c r="B13" s="825"/>
      <c r="C13" s="825"/>
      <c r="D13" s="826"/>
      <c r="E13" s="845" t="s">
        <v>98</v>
      </c>
      <c r="F13" s="846"/>
      <c r="G13" s="820">
        <v>1053632</v>
      </c>
      <c r="H13" s="821"/>
      <c r="I13" s="820">
        <v>365251010501170</v>
      </c>
      <c r="J13" s="821"/>
      <c r="K13" s="822">
        <v>12925</v>
      </c>
      <c r="L13" s="823"/>
      <c r="M13" s="824" t="s">
        <v>105</v>
      </c>
      <c r="N13" s="825"/>
      <c r="O13" s="825"/>
      <c r="P13" s="825"/>
      <c r="Q13" s="825"/>
      <c r="R13" s="826"/>
    </row>
    <row r="14" spans="1:19">
      <c r="A14" s="847"/>
      <c r="B14" s="848"/>
      <c r="C14" s="848"/>
      <c r="D14" s="849"/>
      <c r="E14" s="850"/>
      <c r="F14" s="851"/>
      <c r="G14" s="827"/>
      <c r="H14" s="828"/>
      <c r="I14" s="827"/>
      <c r="J14" s="828"/>
      <c r="K14" s="838"/>
      <c r="L14" s="839"/>
      <c r="M14" s="840"/>
      <c r="N14" s="841"/>
      <c r="O14" s="841"/>
      <c r="P14" s="841"/>
      <c r="Q14" s="841"/>
      <c r="R14" s="842"/>
    </row>
    <row r="15" spans="1:19">
      <c r="A15" s="830" t="s">
        <v>106</v>
      </c>
      <c r="B15" s="831"/>
      <c r="C15" s="831"/>
      <c r="D15" s="831"/>
      <c r="E15" s="831"/>
      <c r="F15" s="831"/>
      <c r="G15" s="831"/>
      <c r="H15" s="831"/>
      <c r="I15" s="831"/>
      <c r="J15" s="831"/>
      <c r="K15" s="831"/>
      <c r="L15" s="831"/>
      <c r="M15" s="831"/>
      <c r="N15" s="831"/>
      <c r="O15" s="831"/>
      <c r="P15" s="831"/>
      <c r="Q15" s="831"/>
      <c r="R15" s="832"/>
    </row>
    <row r="16" spans="1:19">
      <c r="A16" s="833" t="s">
        <v>107</v>
      </c>
      <c r="B16" s="834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35" t="s">
        <v>109</v>
      </c>
      <c r="D18" s="835"/>
      <c r="E18" s="37"/>
      <c r="F18" s="37"/>
      <c r="G18" s="37"/>
      <c r="H18" s="37"/>
      <c r="I18" s="835" t="s">
        <v>110</v>
      </c>
      <c r="J18" s="835"/>
      <c r="K18" s="835"/>
      <c r="L18" s="37"/>
      <c r="M18" s="37"/>
      <c r="N18" s="37"/>
      <c r="O18" s="37"/>
      <c r="P18" s="836">
        <f ca="1">NOW()</f>
        <v>45779.378181828703</v>
      </c>
      <c r="Q18" s="836"/>
      <c r="R18" s="837"/>
    </row>
    <row r="19" spans="1:18">
      <c r="A19" s="834" t="s">
        <v>111</v>
      </c>
      <c r="B19" s="834"/>
      <c r="E19" s="843" t="s">
        <v>112</v>
      </c>
      <c r="F19" s="844"/>
      <c r="G19" s="844"/>
      <c r="K19" s="28" t="s">
        <v>113</v>
      </c>
    </row>
    <row r="20" spans="1:18">
      <c r="A20" s="829" t="s">
        <v>114</v>
      </c>
      <c r="B20" s="829"/>
      <c r="F20" s="829" t="s">
        <v>114</v>
      </c>
      <c r="G20" s="829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3" sqref="C3:K3"/>
    </sheetView>
  </sheetViews>
  <sheetFormatPr defaultColWidth="8.85546875" defaultRowHeight="15"/>
  <cols>
    <col min="1" max="2" width="5.5703125" style="523" bestFit="1" customWidth="1"/>
    <col min="3" max="3" width="9.5703125" style="523" bestFit="1" customWidth="1"/>
    <col min="4" max="4" width="5.28515625" style="523" bestFit="1" customWidth="1"/>
    <col min="5" max="5" width="3.5703125" style="523" bestFit="1" customWidth="1"/>
    <col min="6" max="6" width="2.7109375" style="523" bestFit="1" customWidth="1"/>
    <col min="7" max="11" width="9.85546875" style="523" customWidth="1"/>
    <col min="12" max="16384" width="8.85546875" style="523"/>
  </cols>
  <sheetData>
    <row r="1" spans="1:11" ht="16.5">
      <c r="A1" s="525" t="s">
        <v>457</v>
      </c>
      <c r="B1" s="525" t="s">
        <v>215</v>
      </c>
      <c r="C1" s="525" t="s">
        <v>458</v>
      </c>
      <c r="D1" s="526">
        <f>封面!H10</f>
        <v>114</v>
      </c>
      <c r="E1" s="525" t="s">
        <v>118</v>
      </c>
      <c r="F1" s="526">
        <f>封面!J10</f>
        <v>4</v>
      </c>
      <c r="G1" s="599" t="s">
        <v>459</v>
      </c>
      <c r="H1" s="600"/>
      <c r="I1" s="600"/>
      <c r="J1" s="600"/>
      <c r="K1" s="600"/>
    </row>
    <row r="2" spans="1:11" ht="16.5">
      <c r="B2" s="522" t="s">
        <v>221</v>
      </c>
      <c r="C2" s="601" t="s">
        <v>484</v>
      </c>
      <c r="D2" s="602"/>
      <c r="E2" s="602"/>
      <c r="F2" s="602"/>
      <c r="G2" s="602"/>
      <c r="H2" s="602"/>
      <c r="I2" s="602"/>
      <c r="J2" s="602"/>
      <c r="K2" s="602"/>
    </row>
    <row r="3" spans="1:11" ht="36.75" customHeight="1">
      <c r="B3" s="550" t="s">
        <v>482</v>
      </c>
      <c r="C3" s="601" t="s">
        <v>483</v>
      </c>
      <c r="D3" s="602"/>
      <c r="E3" s="602"/>
      <c r="F3" s="602"/>
      <c r="G3" s="602"/>
      <c r="H3" s="602"/>
      <c r="I3" s="602"/>
      <c r="J3" s="602"/>
      <c r="K3" s="602"/>
    </row>
    <row r="4" spans="1:11" ht="35.450000000000003" customHeight="1">
      <c r="B4" s="605" t="s">
        <v>460</v>
      </c>
      <c r="C4" s="606"/>
      <c r="D4" s="524"/>
      <c r="E4" s="524"/>
      <c r="F4" s="607" t="s">
        <v>462</v>
      </c>
      <c r="G4" s="608"/>
      <c r="H4" s="608"/>
      <c r="I4" s="603" t="s">
        <v>461</v>
      </c>
      <c r="J4" s="604"/>
    </row>
  </sheetData>
  <mergeCells count="6">
    <mergeCell ref="G1:K1"/>
    <mergeCell ref="C2:K2"/>
    <mergeCell ref="I4:J4"/>
    <mergeCell ref="B4:C4"/>
    <mergeCell ref="F4:H4"/>
    <mergeCell ref="C3:K3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0FB02-1EC5-4844-BE3B-E30755BCFC75}">
  <sheetPr>
    <outlinePr summaryBelow="0"/>
    <pageSetUpPr autoPageBreaks="0"/>
  </sheetPr>
  <dimension ref="A2:Y271"/>
  <sheetViews>
    <sheetView showGridLines="0" topLeftCell="A142" workbookViewId="0">
      <selection activeCell="Y170" sqref="Y170"/>
    </sheetView>
  </sheetViews>
  <sheetFormatPr defaultRowHeight="12.75"/>
  <cols>
    <col min="1" max="1" width="3.140625" style="555" customWidth="1"/>
    <col min="2" max="2" width="56.140625" style="555" customWidth="1"/>
    <col min="3" max="3" width="7.42578125" style="555" customWidth="1"/>
    <col min="4" max="4" width="1.42578125" style="555" customWidth="1"/>
    <col min="5" max="5" width="11.85546875" style="555" customWidth="1"/>
    <col min="6" max="6" width="2.28515625" style="555" customWidth="1"/>
    <col min="7" max="7" width="11.28515625" style="555" customWidth="1"/>
    <col min="8" max="8" width="2" style="555" customWidth="1"/>
    <col min="9" max="9" width="12.85546875" style="555" customWidth="1"/>
    <col min="10" max="10" width="1.42578125" style="555" customWidth="1"/>
    <col min="11" max="11" width="11.5703125" style="555" customWidth="1"/>
    <col min="12" max="12" width="2.85546875" style="555" customWidth="1"/>
    <col min="13" max="13" width="1" style="555" customWidth="1"/>
    <col min="14" max="14" width="8" style="555" customWidth="1"/>
    <col min="15" max="15" width="2.28515625" style="555" customWidth="1"/>
    <col min="16" max="16" width="2.140625" style="555" customWidth="1"/>
    <col min="17" max="17" width="9.28515625" style="555" customWidth="1"/>
    <col min="18" max="18" width="4" style="555" customWidth="1"/>
    <col min="19" max="19" width="2.85546875" style="555" hidden="1" customWidth="1"/>
    <col min="20" max="20" width="12.5703125" style="555" hidden="1" customWidth="1"/>
    <col min="21" max="21" width="1" style="555" hidden="1" customWidth="1"/>
    <col min="22" max="22" width="1.140625" style="555" hidden="1" customWidth="1"/>
    <col min="23" max="23" width="2.85546875" style="555" hidden="1" customWidth="1"/>
    <col min="24" max="24" width="9.85546875" style="555" hidden="1" customWidth="1"/>
    <col min="25" max="25" width="10.5703125" style="555" customWidth="1"/>
    <col min="26" max="256" width="6.85546875" style="555" customWidth="1"/>
    <col min="257" max="16384" width="9.140625" style="555"/>
  </cols>
  <sheetData>
    <row r="2" spans="1:24" ht="15.75">
      <c r="R2" s="619" t="s">
        <v>856</v>
      </c>
      <c r="S2" s="619"/>
      <c r="T2" s="619"/>
      <c r="U2" s="619"/>
      <c r="V2" s="619"/>
      <c r="W2" s="619"/>
    </row>
    <row r="3" spans="1:24" ht="25.5">
      <c r="A3" s="620" t="s">
        <v>855</v>
      </c>
      <c r="B3" s="620"/>
      <c r="C3" s="620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</row>
    <row r="4" spans="1:24" ht="25.5">
      <c r="A4" s="620" t="s">
        <v>854</v>
      </c>
      <c r="B4" s="620"/>
      <c r="C4" s="620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</row>
    <row r="5" spans="1:24" ht="25.5">
      <c r="A5" s="620" t="s">
        <v>853</v>
      </c>
      <c r="B5" s="620"/>
      <c r="C5" s="620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</row>
    <row r="7" spans="1:24">
      <c r="A7" s="621" t="s">
        <v>852</v>
      </c>
      <c r="B7" s="621"/>
      <c r="C7" s="621"/>
      <c r="E7" s="621" t="s">
        <v>851</v>
      </c>
      <c r="F7" s="621" t="s">
        <v>850</v>
      </c>
      <c r="G7" s="621"/>
      <c r="H7" s="621" t="s">
        <v>849</v>
      </c>
      <c r="I7" s="621"/>
      <c r="K7" s="621" t="s">
        <v>848</v>
      </c>
      <c r="L7" s="621"/>
      <c r="N7" s="621" t="s">
        <v>847</v>
      </c>
      <c r="Q7" s="621" t="s">
        <v>846</v>
      </c>
      <c r="R7" s="621"/>
      <c r="T7" s="621" t="s">
        <v>845</v>
      </c>
      <c r="W7" s="621" t="s">
        <v>844</v>
      </c>
      <c r="X7" s="621"/>
    </row>
    <row r="8" spans="1:24">
      <c r="A8" s="621"/>
      <c r="B8" s="621"/>
      <c r="C8" s="621"/>
      <c r="E8" s="621"/>
      <c r="F8" s="621"/>
      <c r="G8" s="621"/>
      <c r="H8" s="621"/>
      <c r="I8" s="621"/>
      <c r="K8" s="621"/>
      <c r="L8" s="621"/>
      <c r="N8" s="621"/>
      <c r="Q8" s="621"/>
      <c r="R8" s="621"/>
      <c r="T8" s="621"/>
      <c r="W8" s="621"/>
      <c r="X8" s="621"/>
    </row>
    <row r="9" spans="1:24">
      <c r="A9" s="621"/>
      <c r="B9" s="621"/>
      <c r="C9" s="621"/>
      <c r="E9" s="621"/>
      <c r="F9" s="621"/>
      <c r="G9" s="621"/>
      <c r="H9" s="621"/>
      <c r="I9" s="621"/>
      <c r="K9" s="621"/>
      <c r="L9" s="621"/>
      <c r="N9" s="621"/>
      <c r="Q9" s="621"/>
      <c r="R9" s="621"/>
      <c r="T9" s="621"/>
      <c r="W9" s="621"/>
      <c r="X9" s="621"/>
    </row>
    <row r="11" spans="1:24" ht="15">
      <c r="B11" s="610" t="s">
        <v>843</v>
      </c>
      <c r="C11" s="610"/>
      <c r="E11" s="569">
        <v>154178</v>
      </c>
      <c r="G11" s="569">
        <v>149026</v>
      </c>
      <c r="I11" s="569">
        <v>12308</v>
      </c>
      <c r="Q11" s="611">
        <v>141870</v>
      </c>
      <c r="R11" s="611"/>
      <c r="T11" s="611">
        <v>141870</v>
      </c>
      <c r="U11" s="611"/>
      <c r="W11" s="611">
        <v>141870</v>
      </c>
      <c r="X11" s="611"/>
    </row>
    <row r="12" spans="1:24">
      <c r="B12" s="610"/>
      <c r="C12" s="610"/>
    </row>
    <row r="13" spans="1:24" ht="15">
      <c r="B13" s="610" t="s">
        <v>842</v>
      </c>
      <c r="C13" s="610"/>
      <c r="E13" s="569">
        <v>635402</v>
      </c>
      <c r="G13" s="569">
        <v>466686</v>
      </c>
      <c r="M13" s="614">
        <v>9295</v>
      </c>
      <c r="N13" s="614"/>
      <c r="O13" s="614"/>
      <c r="Q13" s="611">
        <v>635402</v>
      </c>
      <c r="R13" s="611"/>
      <c r="T13" s="611">
        <v>635402</v>
      </c>
      <c r="U13" s="611"/>
      <c r="W13" s="611">
        <v>626107</v>
      </c>
      <c r="X13" s="611"/>
    </row>
    <row r="14" spans="1:24">
      <c r="B14" s="610"/>
      <c r="C14" s="610"/>
    </row>
    <row r="15" spans="1:24" ht="15">
      <c r="B15" s="610" t="s">
        <v>841</v>
      </c>
      <c r="C15" s="610"/>
      <c r="E15" s="569">
        <v>148347</v>
      </c>
      <c r="G15" s="569">
        <v>141105</v>
      </c>
      <c r="I15" s="569">
        <v>148347</v>
      </c>
    </row>
    <row r="16" spans="1:24">
      <c r="B16" s="610"/>
      <c r="C16" s="610"/>
    </row>
    <row r="17" spans="2:25" ht="15">
      <c r="B17" s="610" t="s">
        <v>840</v>
      </c>
      <c r="C17" s="610"/>
      <c r="E17" s="569">
        <v>70664</v>
      </c>
      <c r="G17" s="569">
        <v>68637</v>
      </c>
      <c r="I17" s="569">
        <v>70664</v>
      </c>
    </row>
    <row r="18" spans="2:25">
      <c r="B18" s="610"/>
      <c r="C18" s="610"/>
    </row>
    <row r="19" spans="2:25" ht="15">
      <c r="B19" s="610" t="s">
        <v>839</v>
      </c>
      <c r="C19" s="610"/>
      <c r="E19" s="569">
        <v>370323</v>
      </c>
      <c r="G19" s="569">
        <v>294133</v>
      </c>
      <c r="Q19" s="611">
        <v>370323</v>
      </c>
      <c r="R19" s="611"/>
      <c r="T19" s="611">
        <v>370323</v>
      </c>
      <c r="U19" s="611"/>
      <c r="W19" s="611">
        <v>370323</v>
      </c>
      <c r="X19" s="611"/>
    </row>
    <row r="20" spans="2:25">
      <c r="B20" s="610"/>
      <c r="C20" s="610"/>
    </row>
    <row r="21" spans="2:25" ht="15">
      <c r="B21" s="618" t="s">
        <v>838</v>
      </c>
      <c r="C21" s="618"/>
      <c r="E21" s="569">
        <v>397728</v>
      </c>
      <c r="G21" s="569">
        <v>365412</v>
      </c>
      <c r="I21" s="569">
        <v>196928</v>
      </c>
      <c r="Q21" s="611">
        <v>200800</v>
      </c>
      <c r="R21" s="611"/>
      <c r="T21" s="611">
        <v>200800</v>
      </c>
      <c r="U21" s="611"/>
      <c r="W21" s="611">
        <v>200800</v>
      </c>
      <c r="X21" s="611"/>
    </row>
    <row r="22" spans="2:25">
      <c r="B22" s="618"/>
      <c r="C22" s="618"/>
    </row>
    <row r="23" spans="2:25" s="570" customFormat="1" ht="15">
      <c r="B23" s="610" t="s">
        <v>837</v>
      </c>
      <c r="C23" s="610"/>
      <c r="E23" s="571">
        <v>327578</v>
      </c>
      <c r="G23" s="571">
        <v>327578</v>
      </c>
      <c r="I23" s="571">
        <v>327578</v>
      </c>
      <c r="Y23" s="570">
        <f>Q23</f>
        <v>0</v>
      </c>
    </row>
    <row r="24" spans="2:25">
      <c r="B24" s="610"/>
      <c r="C24" s="610"/>
    </row>
    <row r="25" spans="2:25" ht="15">
      <c r="B25" s="610" t="s">
        <v>836</v>
      </c>
      <c r="C25" s="610"/>
      <c r="E25" s="569">
        <v>3492552</v>
      </c>
      <c r="G25" s="569">
        <v>3492552</v>
      </c>
      <c r="I25" s="569">
        <v>3492552</v>
      </c>
    </row>
    <row r="26" spans="2:25">
      <c r="B26" s="610"/>
      <c r="C26" s="610"/>
    </row>
    <row r="27" spans="2:25" s="572" customFormat="1" ht="15">
      <c r="B27" s="610" t="s">
        <v>835</v>
      </c>
      <c r="C27" s="610"/>
      <c r="E27" s="573">
        <v>500</v>
      </c>
      <c r="Q27" s="616">
        <v>500</v>
      </c>
      <c r="R27" s="616"/>
      <c r="T27" s="616">
        <v>500</v>
      </c>
      <c r="U27" s="616"/>
      <c r="W27" s="616">
        <v>500</v>
      </c>
      <c r="X27" s="616"/>
      <c r="Y27" s="578">
        <f>Q27</f>
        <v>500</v>
      </c>
    </row>
    <row r="28" spans="2:25">
      <c r="B28" s="610"/>
      <c r="C28" s="610"/>
    </row>
    <row r="29" spans="2:25" s="574" customFormat="1" ht="15">
      <c r="B29" s="610" t="s">
        <v>834</v>
      </c>
      <c r="C29" s="610"/>
      <c r="E29" s="575">
        <v>1074470</v>
      </c>
      <c r="Q29" s="617">
        <v>1074470</v>
      </c>
      <c r="R29" s="617"/>
      <c r="T29" s="617">
        <v>1074470</v>
      </c>
      <c r="U29" s="617"/>
      <c r="W29" s="617">
        <v>1074470</v>
      </c>
      <c r="X29" s="617"/>
      <c r="Y29" s="579">
        <f>Q29</f>
        <v>1074470</v>
      </c>
    </row>
    <row r="30" spans="2:25">
      <c r="B30" s="610"/>
      <c r="C30" s="610"/>
    </row>
    <row r="31" spans="2:25" s="576" customFormat="1" ht="15">
      <c r="B31" s="610" t="s">
        <v>833</v>
      </c>
      <c r="C31" s="610"/>
      <c r="E31" s="577">
        <v>1074527</v>
      </c>
      <c r="Q31" s="615">
        <v>1074527</v>
      </c>
      <c r="R31" s="615"/>
      <c r="T31" s="615">
        <v>1074527</v>
      </c>
      <c r="U31" s="615"/>
      <c r="W31" s="615">
        <v>1074527</v>
      </c>
      <c r="X31" s="615"/>
      <c r="Y31" s="580">
        <f>Q31</f>
        <v>1074527</v>
      </c>
    </row>
    <row r="32" spans="2:25">
      <c r="B32" s="610"/>
      <c r="C32" s="610"/>
    </row>
    <row r="33" spans="2:24" ht="15">
      <c r="B33" s="610" t="s">
        <v>832</v>
      </c>
      <c r="C33" s="610"/>
      <c r="E33" s="569">
        <v>5538117</v>
      </c>
      <c r="G33" s="569">
        <v>5538117</v>
      </c>
      <c r="I33" s="569">
        <v>4440661</v>
      </c>
      <c r="M33" s="614">
        <v>1097456</v>
      </c>
      <c r="N33" s="614"/>
      <c r="O33" s="614"/>
      <c r="Q33" s="611">
        <v>1097456</v>
      </c>
      <c r="R33" s="611"/>
      <c r="T33" s="611">
        <v>1097456</v>
      </c>
      <c r="U33" s="611"/>
    </row>
    <row r="34" spans="2:24">
      <c r="B34" s="610"/>
      <c r="C34" s="610"/>
    </row>
    <row r="35" spans="2:24" ht="15">
      <c r="B35" s="610" t="s">
        <v>831</v>
      </c>
      <c r="C35" s="610"/>
      <c r="E35" s="569">
        <v>1337028</v>
      </c>
      <c r="G35" s="569">
        <v>1337028</v>
      </c>
      <c r="I35" s="569">
        <v>1072070</v>
      </c>
      <c r="M35" s="614">
        <v>264958</v>
      </c>
      <c r="N35" s="614"/>
      <c r="O35" s="614"/>
      <c r="Q35" s="611">
        <v>264958</v>
      </c>
      <c r="R35" s="611"/>
      <c r="T35" s="611">
        <v>264958</v>
      </c>
      <c r="U35" s="611"/>
    </row>
    <row r="36" spans="2:24">
      <c r="B36" s="610"/>
      <c r="C36" s="610"/>
    </row>
    <row r="37" spans="2:24" ht="15">
      <c r="B37" s="610" t="s">
        <v>830</v>
      </c>
      <c r="C37" s="610"/>
      <c r="E37" s="569">
        <v>1347933</v>
      </c>
      <c r="G37" s="569">
        <v>984861</v>
      </c>
      <c r="I37" s="569">
        <v>986513</v>
      </c>
      <c r="Q37" s="611">
        <v>361420</v>
      </c>
      <c r="R37" s="611"/>
      <c r="T37" s="611">
        <v>361420</v>
      </c>
      <c r="U37" s="611"/>
      <c r="W37" s="611">
        <v>361420</v>
      </c>
      <c r="X37" s="611"/>
    </row>
    <row r="38" spans="2:24">
      <c r="B38" s="610"/>
      <c r="C38" s="610"/>
    </row>
    <row r="39" spans="2:24" ht="15">
      <c r="B39" s="610" t="s">
        <v>829</v>
      </c>
      <c r="C39" s="610"/>
      <c r="E39" s="569">
        <v>225340</v>
      </c>
      <c r="G39" s="569">
        <v>187213</v>
      </c>
      <c r="I39" s="569">
        <v>187213</v>
      </c>
      <c r="Q39" s="611">
        <v>38127</v>
      </c>
      <c r="R39" s="611"/>
      <c r="T39" s="611">
        <v>38127</v>
      </c>
      <c r="U39" s="611"/>
      <c r="W39" s="611">
        <v>38127</v>
      </c>
      <c r="X39" s="611"/>
    </row>
    <row r="40" spans="2:24">
      <c r="B40" s="610"/>
      <c r="C40" s="610"/>
    </row>
    <row r="41" spans="2:24" ht="15">
      <c r="B41" s="610" t="s">
        <v>828</v>
      </c>
      <c r="C41" s="610"/>
      <c r="E41" s="569">
        <v>16548</v>
      </c>
      <c r="G41" s="569">
        <v>11771</v>
      </c>
      <c r="I41" s="569">
        <v>11771</v>
      </c>
      <c r="Q41" s="611">
        <v>4777</v>
      </c>
      <c r="R41" s="611"/>
      <c r="T41" s="611">
        <v>4777</v>
      </c>
      <c r="U41" s="611"/>
      <c r="W41" s="611">
        <v>4777</v>
      </c>
      <c r="X41" s="611"/>
    </row>
    <row r="42" spans="2:24">
      <c r="B42" s="610"/>
      <c r="C42" s="610"/>
    </row>
    <row r="43" spans="2:24" ht="15">
      <c r="B43" s="610" t="s">
        <v>827</v>
      </c>
      <c r="C43" s="610"/>
      <c r="E43" s="569">
        <v>736244</v>
      </c>
      <c r="G43" s="569">
        <v>694268</v>
      </c>
      <c r="I43" s="569">
        <v>694268</v>
      </c>
      <c r="Q43" s="611">
        <v>41976</v>
      </c>
      <c r="R43" s="611"/>
      <c r="T43" s="611">
        <v>41976</v>
      </c>
      <c r="U43" s="611"/>
      <c r="W43" s="611">
        <v>41976</v>
      </c>
      <c r="X43" s="611"/>
    </row>
    <row r="44" spans="2:24">
      <c r="B44" s="610"/>
      <c r="C44" s="610"/>
    </row>
    <row r="45" spans="2:24" ht="15">
      <c r="B45" s="610" t="s">
        <v>826</v>
      </c>
      <c r="C45" s="610"/>
      <c r="E45" s="569">
        <v>17170</v>
      </c>
      <c r="G45" s="569">
        <v>17170</v>
      </c>
      <c r="I45" s="569">
        <v>13736</v>
      </c>
      <c r="M45" s="614">
        <v>3434</v>
      </c>
      <c r="N45" s="614"/>
      <c r="O45" s="614"/>
      <c r="Q45" s="611">
        <v>3434</v>
      </c>
      <c r="R45" s="611"/>
      <c r="T45" s="611">
        <v>3434</v>
      </c>
      <c r="U45" s="611"/>
    </row>
    <row r="46" spans="2:24">
      <c r="B46" s="610"/>
      <c r="C46" s="610"/>
    </row>
    <row r="47" spans="2:24" ht="15">
      <c r="B47" s="610" t="s">
        <v>825</v>
      </c>
      <c r="C47" s="610"/>
      <c r="E47" s="569">
        <v>49348</v>
      </c>
      <c r="G47" s="569">
        <v>43012</v>
      </c>
      <c r="I47" s="569">
        <v>43012</v>
      </c>
      <c r="Q47" s="611">
        <v>6336</v>
      </c>
      <c r="R47" s="611"/>
      <c r="T47" s="611">
        <v>6336</v>
      </c>
      <c r="U47" s="611"/>
      <c r="W47" s="611">
        <v>6336</v>
      </c>
      <c r="X47" s="611"/>
    </row>
    <row r="48" spans="2:24">
      <c r="B48" s="610"/>
      <c r="C48" s="610"/>
    </row>
    <row r="49" spans="2:24" ht="15">
      <c r="B49" s="610" t="s">
        <v>824</v>
      </c>
      <c r="C49" s="610"/>
      <c r="E49" s="569">
        <v>6195</v>
      </c>
      <c r="G49" s="569">
        <v>4028</v>
      </c>
      <c r="I49" s="569">
        <v>4028</v>
      </c>
      <c r="Q49" s="611">
        <v>2167</v>
      </c>
      <c r="R49" s="611"/>
      <c r="T49" s="611">
        <v>2167</v>
      </c>
      <c r="U49" s="611"/>
      <c r="W49" s="611">
        <v>2167</v>
      </c>
      <c r="X49" s="611"/>
    </row>
    <row r="50" spans="2:24">
      <c r="B50" s="610"/>
      <c r="C50" s="610"/>
    </row>
    <row r="51" spans="2:24" ht="15">
      <c r="B51" s="610" t="s">
        <v>823</v>
      </c>
      <c r="C51" s="610"/>
      <c r="E51" s="569">
        <v>80500</v>
      </c>
      <c r="Q51" s="611">
        <v>80500</v>
      </c>
      <c r="R51" s="611"/>
      <c r="T51" s="611">
        <v>80500</v>
      </c>
      <c r="U51" s="611"/>
      <c r="W51" s="611">
        <v>80500</v>
      </c>
      <c r="X51" s="611"/>
    </row>
    <row r="52" spans="2:24">
      <c r="B52" s="610"/>
      <c r="C52" s="610"/>
    </row>
    <row r="53" spans="2:24" ht="15">
      <c r="B53" s="610" t="s">
        <v>822</v>
      </c>
      <c r="C53" s="610"/>
      <c r="E53" s="569">
        <v>199800</v>
      </c>
      <c r="Q53" s="611">
        <v>199800</v>
      </c>
      <c r="R53" s="611"/>
      <c r="T53" s="611">
        <v>199800</v>
      </c>
      <c r="U53" s="611"/>
      <c r="W53" s="611">
        <v>199800</v>
      </c>
      <c r="X53" s="611"/>
    </row>
    <row r="54" spans="2:24">
      <c r="B54" s="610"/>
      <c r="C54" s="610"/>
    </row>
    <row r="55" spans="2:24" ht="15">
      <c r="B55" s="610" t="s">
        <v>821</v>
      </c>
      <c r="C55" s="610"/>
      <c r="E55" s="569">
        <v>1186348</v>
      </c>
      <c r="Q55" s="611">
        <v>1186348</v>
      </c>
      <c r="R55" s="611"/>
      <c r="T55" s="611">
        <v>1186348</v>
      </c>
      <c r="U55" s="611"/>
      <c r="W55" s="611">
        <v>1186348</v>
      </c>
      <c r="X55" s="611"/>
    </row>
    <row r="56" spans="2:24">
      <c r="B56" s="610"/>
      <c r="C56" s="610"/>
    </row>
    <row r="57" spans="2:24" ht="15">
      <c r="B57" s="610" t="s">
        <v>820</v>
      </c>
      <c r="C57" s="610"/>
      <c r="E57" s="569">
        <v>589070</v>
      </c>
      <c r="G57" s="569">
        <v>141770</v>
      </c>
      <c r="I57" s="569">
        <v>141770</v>
      </c>
      <c r="Q57" s="611">
        <v>447300</v>
      </c>
      <c r="R57" s="611"/>
      <c r="T57" s="611">
        <v>447300</v>
      </c>
      <c r="U57" s="611"/>
      <c r="W57" s="611">
        <v>447300</v>
      </c>
      <c r="X57" s="611"/>
    </row>
    <row r="58" spans="2:24">
      <c r="B58" s="610"/>
      <c r="C58" s="610"/>
    </row>
    <row r="59" spans="2:24" ht="15">
      <c r="B59" s="610" t="s">
        <v>819</v>
      </c>
      <c r="C59" s="610"/>
      <c r="E59" s="569">
        <v>142080</v>
      </c>
      <c r="Q59" s="611">
        <v>142080</v>
      </c>
      <c r="R59" s="611"/>
      <c r="T59" s="611">
        <v>142080</v>
      </c>
      <c r="U59" s="611"/>
      <c r="W59" s="611">
        <v>142080</v>
      </c>
      <c r="X59" s="611"/>
    </row>
    <row r="60" spans="2:24">
      <c r="B60" s="610"/>
      <c r="C60" s="610"/>
    </row>
    <row r="61" spans="2:24" ht="15">
      <c r="B61" s="610" t="s">
        <v>818</v>
      </c>
      <c r="C61" s="610"/>
      <c r="E61" s="569">
        <v>616412</v>
      </c>
      <c r="G61" s="569">
        <v>375723</v>
      </c>
      <c r="I61" s="569">
        <v>381722</v>
      </c>
      <c r="Q61" s="611">
        <v>234690</v>
      </c>
      <c r="R61" s="611"/>
      <c r="T61" s="611">
        <v>234690</v>
      </c>
      <c r="U61" s="611"/>
      <c r="W61" s="611">
        <v>234690</v>
      </c>
      <c r="X61" s="611"/>
    </row>
    <row r="62" spans="2:24">
      <c r="B62" s="610"/>
      <c r="C62" s="610"/>
    </row>
    <row r="63" spans="2:24" ht="15">
      <c r="B63" s="610" t="s">
        <v>817</v>
      </c>
      <c r="C63" s="610"/>
      <c r="E63" s="569">
        <v>21600</v>
      </c>
      <c r="G63" s="569">
        <v>10080</v>
      </c>
      <c r="I63" s="569">
        <v>14400</v>
      </c>
      <c r="Q63" s="611">
        <v>7200</v>
      </c>
      <c r="R63" s="611"/>
      <c r="T63" s="611">
        <v>7200</v>
      </c>
      <c r="U63" s="611"/>
      <c r="W63" s="611">
        <v>7200</v>
      </c>
      <c r="X63" s="611"/>
    </row>
    <row r="64" spans="2:24">
      <c r="B64" s="610"/>
      <c r="C64" s="610"/>
    </row>
    <row r="65" spans="2:24" ht="15">
      <c r="B65" s="610" t="s">
        <v>816</v>
      </c>
      <c r="C65" s="610"/>
      <c r="E65" s="569">
        <v>37800</v>
      </c>
      <c r="G65" s="569">
        <v>14700</v>
      </c>
      <c r="I65" s="569">
        <v>21000</v>
      </c>
      <c r="Q65" s="611">
        <v>16800</v>
      </c>
      <c r="R65" s="611"/>
      <c r="T65" s="611">
        <v>16800</v>
      </c>
      <c r="U65" s="611"/>
      <c r="W65" s="611">
        <v>16800</v>
      </c>
      <c r="X65" s="611"/>
    </row>
    <row r="66" spans="2:24">
      <c r="B66" s="610"/>
      <c r="C66" s="610"/>
    </row>
    <row r="67" spans="2:24" ht="15">
      <c r="B67" s="610" t="s">
        <v>815</v>
      </c>
      <c r="C67" s="610"/>
      <c r="E67" s="569">
        <v>36800</v>
      </c>
      <c r="G67" s="569">
        <v>14560</v>
      </c>
      <c r="I67" s="569">
        <v>20800</v>
      </c>
      <c r="Q67" s="611">
        <v>16000</v>
      </c>
      <c r="R67" s="611"/>
      <c r="T67" s="611">
        <v>16000</v>
      </c>
      <c r="U67" s="611"/>
      <c r="W67" s="611">
        <v>16000</v>
      </c>
      <c r="X67" s="611"/>
    </row>
    <row r="68" spans="2:24">
      <c r="B68" s="610"/>
      <c r="C68" s="610"/>
    </row>
    <row r="69" spans="2:24" ht="15">
      <c r="B69" s="610" t="s">
        <v>814</v>
      </c>
      <c r="C69" s="610"/>
      <c r="E69" s="569">
        <v>75000</v>
      </c>
      <c r="G69" s="569">
        <v>30096</v>
      </c>
      <c r="I69" s="569">
        <v>43000</v>
      </c>
      <c r="Q69" s="611">
        <v>32000</v>
      </c>
      <c r="R69" s="611"/>
      <c r="T69" s="611">
        <v>32000</v>
      </c>
      <c r="U69" s="611"/>
      <c r="W69" s="611">
        <v>32000</v>
      </c>
      <c r="X69" s="611"/>
    </row>
    <row r="70" spans="2:24">
      <c r="B70" s="610"/>
      <c r="C70" s="610"/>
    </row>
    <row r="71" spans="2:24" ht="15">
      <c r="B71" s="610" t="s">
        <v>813</v>
      </c>
      <c r="C71" s="610"/>
      <c r="E71" s="569">
        <v>13000</v>
      </c>
      <c r="G71" s="569">
        <v>4550</v>
      </c>
      <c r="I71" s="569">
        <v>6500</v>
      </c>
      <c r="Q71" s="611">
        <v>6500</v>
      </c>
      <c r="R71" s="611"/>
      <c r="T71" s="611">
        <v>6500</v>
      </c>
      <c r="U71" s="611"/>
      <c r="W71" s="611">
        <v>6500</v>
      </c>
      <c r="X71" s="611"/>
    </row>
    <row r="72" spans="2:24">
      <c r="B72" s="610"/>
      <c r="C72" s="610"/>
    </row>
    <row r="73" spans="2:24" ht="15">
      <c r="B73" s="610" t="s">
        <v>812</v>
      </c>
      <c r="C73" s="610"/>
      <c r="E73" s="569">
        <v>81000</v>
      </c>
      <c r="G73" s="569">
        <v>29400</v>
      </c>
      <c r="I73" s="569">
        <v>42000</v>
      </c>
      <c r="Q73" s="611">
        <v>39000</v>
      </c>
      <c r="R73" s="611"/>
      <c r="T73" s="611">
        <v>39000</v>
      </c>
      <c r="U73" s="611"/>
      <c r="W73" s="611">
        <v>39000</v>
      </c>
      <c r="X73" s="611"/>
    </row>
    <row r="74" spans="2:24">
      <c r="B74" s="610"/>
      <c r="C74" s="610"/>
    </row>
    <row r="75" spans="2:24" ht="15">
      <c r="B75" s="610" t="s">
        <v>811</v>
      </c>
      <c r="C75" s="610"/>
      <c r="E75" s="569">
        <v>30600</v>
      </c>
      <c r="G75" s="569">
        <v>10075</v>
      </c>
      <c r="I75" s="569">
        <v>14400</v>
      </c>
      <c r="Q75" s="611">
        <v>16200</v>
      </c>
      <c r="R75" s="611"/>
      <c r="T75" s="611">
        <v>16200</v>
      </c>
      <c r="U75" s="611"/>
      <c r="W75" s="611">
        <v>16200</v>
      </c>
      <c r="X75" s="611"/>
    </row>
    <row r="76" spans="2:24">
      <c r="B76" s="610"/>
      <c r="C76" s="610"/>
    </row>
    <row r="77" spans="2:24" ht="15">
      <c r="B77" s="610" t="s">
        <v>810</v>
      </c>
      <c r="C77" s="610"/>
      <c r="E77" s="569">
        <v>25200</v>
      </c>
      <c r="G77" s="569">
        <v>10080</v>
      </c>
      <c r="I77" s="569">
        <v>14400</v>
      </c>
      <c r="Q77" s="611">
        <v>10800</v>
      </c>
      <c r="R77" s="611"/>
      <c r="T77" s="611">
        <v>10800</v>
      </c>
      <c r="U77" s="611"/>
      <c r="W77" s="611">
        <v>10800</v>
      </c>
      <c r="X77" s="611"/>
    </row>
    <row r="78" spans="2:24">
      <c r="B78" s="610"/>
      <c r="C78" s="610"/>
    </row>
    <row r="79" spans="2:24" ht="15">
      <c r="B79" s="610" t="s">
        <v>809</v>
      </c>
      <c r="C79" s="610"/>
      <c r="E79" s="569">
        <v>140400</v>
      </c>
      <c r="G79" s="569">
        <v>50976</v>
      </c>
      <c r="I79" s="569">
        <v>72800</v>
      </c>
      <c r="Q79" s="611">
        <v>67600</v>
      </c>
      <c r="R79" s="611"/>
      <c r="T79" s="611">
        <v>67600</v>
      </c>
      <c r="U79" s="611"/>
      <c r="W79" s="611">
        <v>67600</v>
      </c>
      <c r="X79" s="611"/>
    </row>
    <row r="80" spans="2:24">
      <c r="B80" s="610"/>
      <c r="C80" s="610"/>
    </row>
    <row r="81" spans="2:24" ht="15">
      <c r="B81" s="610" t="s">
        <v>808</v>
      </c>
      <c r="C81" s="610"/>
      <c r="E81" s="569">
        <v>133169</v>
      </c>
      <c r="Q81" s="611">
        <v>133169</v>
      </c>
      <c r="R81" s="611"/>
      <c r="T81" s="611">
        <v>133169</v>
      </c>
      <c r="U81" s="611"/>
      <c r="W81" s="611">
        <v>133169</v>
      </c>
      <c r="X81" s="611"/>
    </row>
    <row r="82" spans="2:24">
      <c r="B82" s="610"/>
      <c r="C82" s="610"/>
    </row>
    <row r="83" spans="2:24" ht="15">
      <c r="B83" s="610" t="s">
        <v>807</v>
      </c>
      <c r="C83" s="610"/>
      <c r="E83" s="569">
        <v>39200</v>
      </c>
      <c r="G83" s="569">
        <v>15442</v>
      </c>
      <c r="I83" s="569">
        <v>22050</v>
      </c>
      <c r="Q83" s="611">
        <v>17150</v>
      </c>
      <c r="R83" s="611"/>
      <c r="T83" s="611">
        <v>17150</v>
      </c>
      <c r="U83" s="611"/>
      <c r="W83" s="611">
        <v>17150</v>
      </c>
      <c r="X83" s="611"/>
    </row>
    <row r="84" spans="2:24">
      <c r="B84" s="610"/>
      <c r="C84" s="610"/>
    </row>
    <row r="85" spans="2:24" ht="15">
      <c r="B85" s="610" t="s">
        <v>806</v>
      </c>
      <c r="C85" s="610"/>
      <c r="E85" s="569">
        <v>102985</v>
      </c>
      <c r="G85" s="569">
        <v>16800</v>
      </c>
      <c r="I85" s="569">
        <v>56715</v>
      </c>
      <c r="Q85" s="611">
        <v>46270</v>
      </c>
      <c r="R85" s="611"/>
      <c r="T85" s="611">
        <v>46270</v>
      </c>
      <c r="U85" s="611"/>
      <c r="W85" s="611">
        <v>46270</v>
      </c>
      <c r="X85" s="611"/>
    </row>
    <row r="86" spans="2:24">
      <c r="B86" s="610"/>
      <c r="C86" s="610"/>
    </row>
    <row r="87" spans="2:24" ht="15">
      <c r="B87" s="610" t="s">
        <v>805</v>
      </c>
      <c r="C87" s="610"/>
      <c r="E87" s="569">
        <v>13800</v>
      </c>
      <c r="G87" s="569">
        <v>9660</v>
      </c>
      <c r="I87" s="569">
        <v>13800</v>
      </c>
    </row>
    <row r="88" spans="2:24">
      <c r="B88" s="610"/>
      <c r="C88" s="610"/>
    </row>
    <row r="89" spans="2:24">
      <c r="B89" s="610"/>
      <c r="C89" s="610"/>
    </row>
    <row r="90" spans="2:24" ht="15">
      <c r="B90" s="610" t="s">
        <v>804</v>
      </c>
      <c r="C90" s="610"/>
      <c r="E90" s="569">
        <v>33800</v>
      </c>
      <c r="Q90" s="611">
        <v>33800</v>
      </c>
      <c r="R90" s="611"/>
      <c r="T90" s="611">
        <v>33800</v>
      </c>
      <c r="U90" s="611"/>
      <c r="W90" s="611">
        <v>33800</v>
      </c>
      <c r="X90" s="611"/>
    </row>
    <row r="91" spans="2:24">
      <c r="B91" s="610"/>
      <c r="C91" s="610"/>
    </row>
    <row r="92" spans="2:24" ht="15">
      <c r="B92" s="610" t="s">
        <v>803</v>
      </c>
      <c r="C92" s="610"/>
      <c r="E92" s="569">
        <v>3500</v>
      </c>
      <c r="G92" s="569">
        <v>3500</v>
      </c>
      <c r="I92" s="569">
        <v>3500</v>
      </c>
    </row>
    <row r="93" spans="2:24">
      <c r="B93" s="610"/>
      <c r="C93" s="610"/>
    </row>
    <row r="94" spans="2:24" ht="15">
      <c r="B94" s="610" t="s">
        <v>802</v>
      </c>
      <c r="C94" s="610"/>
      <c r="E94" s="569">
        <v>97854</v>
      </c>
      <c r="Q94" s="611">
        <v>97854</v>
      </c>
      <c r="R94" s="611"/>
      <c r="T94" s="611">
        <v>97854</v>
      </c>
      <c r="U94" s="611"/>
      <c r="W94" s="611">
        <v>97854</v>
      </c>
      <c r="X94" s="611"/>
    </row>
    <row r="95" spans="2:24">
      <c r="B95" s="610"/>
      <c r="C95" s="610"/>
    </row>
    <row r="96" spans="2:24">
      <c r="B96" s="610"/>
      <c r="C96" s="610"/>
    </row>
    <row r="97" spans="2:24" ht="15">
      <c r="B97" s="610" t="s">
        <v>801</v>
      </c>
      <c r="C97" s="610"/>
      <c r="E97" s="569">
        <v>1078050</v>
      </c>
      <c r="G97" s="569">
        <v>419058</v>
      </c>
      <c r="I97" s="569">
        <v>424585</v>
      </c>
      <c r="Q97" s="611">
        <v>653465</v>
      </c>
      <c r="R97" s="611"/>
      <c r="T97" s="611">
        <v>653465</v>
      </c>
      <c r="U97" s="611"/>
      <c r="W97" s="611">
        <v>653465</v>
      </c>
      <c r="X97" s="611"/>
    </row>
    <row r="98" spans="2:24">
      <c r="B98" s="610"/>
      <c r="C98" s="610"/>
    </row>
    <row r="99" spans="2:24" ht="15">
      <c r="B99" s="610" t="s">
        <v>800</v>
      </c>
      <c r="C99" s="610"/>
      <c r="E99" s="569">
        <v>139409</v>
      </c>
      <c r="G99" s="569">
        <v>24258</v>
      </c>
      <c r="I99" s="569">
        <v>24258</v>
      </c>
      <c r="Q99" s="611">
        <v>115151</v>
      </c>
      <c r="R99" s="611"/>
      <c r="T99" s="611">
        <v>115151</v>
      </c>
      <c r="U99" s="611"/>
      <c r="W99" s="611">
        <v>115151</v>
      </c>
      <c r="X99" s="611"/>
    </row>
    <row r="100" spans="2:24">
      <c r="B100" s="610"/>
      <c r="C100" s="610"/>
    </row>
    <row r="101" spans="2:24" ht="15">
      <c r="B101" s="610" t="s">
        <v>799</v>
      </c>
      <c r="C101" s="610"/>
      <c r="E101" s="569">
        <v>213800</v>
      </c>
      <c r="G101" s="569">
        <v>210953</v>
      </c>
      <c r="I101" s="569">
        <v>213800</v>
      </c>
    </row>
    <row r="102" spans="2:24">
      <c r="B102" s="610"/>
      <c r="C102" s="610"/>
    </row>
    <row r="103" spans="2:24">
      <c r="B103" s="610"/>
      <c r="C103" s="610"/>
    </row>
    <row r="104" spans="2:24" ht="15">
      <c r="B104" s="610" t="s">
        <v>798</v>
      </c>
      <c r="C104" s="610"/>
      <c r="E104" s="569">
        <v>36025</v>
      </c>
      <c r="G104" s="569">
        <v>35280</v>
      </c>
      <c r="I104" s="569">
        <v>36025</v>
      </c>
    </row>
    <row r="105" spans="2:24">
      <c r="B105" s="610"/>
      <c r="C105" s="610"/>
    </row>
    <row r="106" spans="2:24" ht="15">
      <c r="B106" s="610" t="s">
        <v>797</v>
      </c>
      <c r="C106" s="610"/>
      <c r="E106" s="569">
        <v>200000</v>
      </c>
      <c r="Q106" s="611">
        <v>200000</v>
      </c>
      <c r="R106" s="611"/>
      <c r="T106" s="611">
        <v>200000</v>
      </c>
      <c r="U106" s="611"/>
      <c r="W106" s="611">
        <v>200000</v>
      </c>
      <c r="X106" s="611"/>
    </row>
    <row r="107" spans="2:24">
      <c r="B107" s="610"/>
      <c r="C107" s="610"/>
    </row>
    <row r="108" spans="2:24">
      <c r="B108" s="610"/>
      <c r="C108" s="610"/>
    </row>
    <row r="109" spans="2:24" ht="15">
      <c r="B109" s="610" t="s">
        <v>796</v>
      </c>
      <c r="C109" s="610"/>
      <c r="E109" s="569">
        <v>9692</v>
      </c>
      <c r="G109" s="569">
        <v>1344</v>
      </c>
      <c r="I109" s="569">
        <v>4704</v>
      </c>
      <c r="Q109" s="611">
        <v>4988</v>
      </c>
      <c r="R109" s="611"/>
      <c r="T109" s="611">
        <v>4988</v>
      </c>
      <c r="U109" s="611"/>
      <c r="W109" s="611">
        <v>4988</v>
      </c>
      <c r="X109" s="611"/>
    </row>
    <row r="110" spans="2:24">
      <c r="B110" s="610"/>
      <c r="C110" s="610"/>
    </row>
    <row r="111" spans="2:24" ht="15">
      <c r="B111" s="610" t="s">
        <v>795</v>
      </c>
      <c r="C111" s="610"/>
      <c r="E111" s="569">
        <v>458489</v>
      </c>
      <c r="G111" s="569">
        <v>328099</v>
      </c>
      <c r="I111" s="569">
        <v>328489</v>
      </c>
      <c r="Q111" s="611">
        <v>130000</v>
      </c>
      <c r="R111" s="611"/>
      <c r="T111" s="611">
        <v>130000</v>
      </c>
      <c r="U111" s="611"/>
      <c r="W111" s="611">
        <v>130000</v>
      </c>
      <c r="X111" s="611"/>
    </row>
    <row r="112" spans="2:24">
      <c r="B112" s="610"/>
      <c r="C112" s="610"/>
    </row>
    <row r="113" spans="2:24" ht="15">
      <c r="B113" s="610" t="s">
        <v>794</v>
      </c>
      <c r="C113" s="610"/>
      <c r="E113" s="569">
        <v>4055</v>
      </c>
      <c r="Q113" s="611">
        <v>4055</v>
      </c>
      <c r="R113" s="611"/>
      <c r="T113" s="611">
        <v>4055</v>
      </c>
      <c r="U113" s="611"/>
      <c r="W113" s="611">
        <v>4055</v>
      </c>
      <c r="X113" s="611"/>
    </row>
    <row r="114" spans="2:24">
      <c r="B114" s="610"/>
      <c r="C114" s="610"/>
    </row>
    <row r="115" spans="2:24">
      <c r="B115" s="610"/>
      <c r="C115" s="610"/>
    </row>
    <row r="116" spans="2:24" ht="15">
      <c r="B116" s="610" t="s">
        <v>793</v>
      </c>
      <c r="C116" s="610"/>
      <c r="E116" s="569">
        <v>6174315</v>
      </c>
      <c r="G116" s="569">
        <v>3360330</v>
      </c>
      <c r="I116" s="569">
        <v>3360330</v>
      </c>
      <c r="Q116" s="611">
        <v>2813985</v>
      </c>
      <c r="R116" s="611"/>
      <c r="T116" s="611">
        <v>2813985</v>
      </c>
      <c r="U116" s="611"/>
      <c r="W116" s="611">
        <v>2813985</v>
      </c>
      <c r="X116" s="611"/>
    </row>
    <row r="117" spans="2:24">
      <c r="B117" s="610"/>
      <c r="C117" s="610"/>
    </row>
    <row r="118" spans="2:24" ht="15">
      <c r="B118" s="610" t="s">
        <v>792</v>
      </c>
      <c r="C118" s="610"/>
      <c r="E118" s="569">
        <v>496389</v>
      </c>
      <c r="G118" s="569">
        <v>380363</v>
      </c>
      <c r="I118" s="569">
        <v>386591</v>
      </c>
      <c r="Q118" s="611">
        <v>109798</v>
      </c>
      <c r="R118" s="611"/>
      <c r="T118" s="611">
        <v>109798</v>
      </c>
      <c r="U118" s="611"/>
      <c r="W118" s="611">
        <v>109798</v>
      </c>
      <c r="X118" s="611"/>
    </row>
    <row r="119" spans="2:24">
      <c r="B119" s="610"/>
      <c r="C119" s="610"/>
    </row>
    <row r="120" spans="2:24" ht="15">
      <c r="B120" s="610" t="s">
        <v>791</v>
      </c>
      <c r="C120" s="610"/>
      <c r="E120" s="569">
        <v>1041996</v>
      </c>
      <c r="G120" s="569">
        <v>44859</v>
      </c>
      <c r="I120" s="569">
        <v>45461</v>
      </c>
      <c r="Q120" s="611">
        <v>996535</v>
      </c>
      <c r="R120" s="611"/>
      <c r="T120" s="611">
        <v>996535</v>
      </c>
      <c r="U120" s="611"/>
      <c r="W120" s="611">
        <v>996535</v>
      </c>
      <c r="X120" s="611"/>
    </row>
    <row r="121" spans="2:24">
      <c r="B121" s="610"/>
      <c r="C121" s="610"/>
    </row>
    <row r="122" spans="2:24" ht="15">
      <c r="B122" s="610" t="s">
        <v>790</v>
      </c>
      <c r="C122" s="610"/>
      <c r="E122" s="569">
        <v>142490</v>
      </c>
      <c r="G122" s="569">
        <v>142490</v>
      </c>
      <c r="I122" s="569">
        <v>142490</v>
      </c>
    </row>
    <row r="123" spans="2:24">
      <c r="B123" s="610"/>
      <c r="C123" s="610"/>
    </row>
    <row r="124" spans="2:24" ht="15">
      <c r="B124" s="610" t="s">
        <v>789</v>
      </c>
      <c r="C124" s="610"/>
      <c r="E124" s="569">
        <v>420000</v>
      </c>
      <c r="G124" s="569">
        <v>84339</v>
      </c>
      <c r="I124" s="569">
        <v>278371</v>
      </c>
      <c r="Q124" s="611">
        <v>141629</v>
      </c>
      <c r="R124" s="611"/>
      <c r="T124" s="611">
        <v>141629</v>
      </c>
      <c r="U124" s="611"/>
      <c r="W124" s="611">
        <v>141629</v>
      </c>
      <c r="X124" s="611"/>
    </row>
    <row r="125" spans="2:24">
      <c r="B125" s="610"/>
      <c r="C125" s="610"/>
    </row>
    <row r="126" spans="2:24">
      <c r="B126" s="610"/>
      <c r="C126" s="610"/>
    </row>
    <row r="127" spans="2:24" ht="15">
      <c r="B127" s="610" t="s">
        <v>788</v>
      </c>
      <c r="C127" s="610"/>
      <c r="E127" s="569">
        <v>3553</v>
      </c>
      <c r="G127" s="569">
        <v>3553</v>
      </c>
      <c r="I127" s="569">
        <v>3553</v>
      </c>
    </row>
    <row r="128" spans="2:24">
      <c r="B128" s="610"/>
      <c r="C128" s="610"/>
    </row>
    <row r="129" spans="2:24" ht="15">
      <c r="B129" s="610" t="s">
        <v>787</v>
      </c>
      <c r="C129" s="610"/>
      <c r="E129" s="569">
        <v>1044514</v>
      </c>
      <c r="G129" s="569">
        <v>280675</v>
      </c>
      <c r="I129" s="569">
        <v>280675</v>
      </c>
      <c r="Q129" s="611">
        <v>763839</v>
      </c>
      <c r="R129" s="611"/>
      <c r="T129" s="611">
        <v>763839</v>
      </c>
      <c r="U129" s="611"/>
      <c r="W129" s="611">
        <v>763839</v>
      </c>
      <c r="X129" s="611"/>
    </row>
    <row r="130" spans="2:24">
      <c r="B130" s="610"/>
      <c r="C130" s="610"/>
    </row>
    <row r="131" spans="2:24">
      <c r="B131" s="610"/>
      <c r="C131" s="610"/>
    </row>
    <row r="132" spans="2:24" ht="15">
      <c r="B132" s="610" t="s">
        <v>786</v>
      </c>
      <c r="C132" s="610"/>
      <c r="E132" s="569">
        <v>473000</v>
      </c>
      <c r="G132" s="569">
        <v>159055</v>
      </c>
      <c r="I132" s="569">
        <v>160450</v>
      </c>
      <c r="Q132" s="611">
        <v>312550</v>
      </c>
      <c r="R132" s="611"/>
      <c r="T132" s="611">
        <v>312550</v>
      </c>
      <c r="U132" s="611"/>
      <c r="W132" s="611">
        <v>312550</v>
      </c>
      <c r="X132" s="611"/>
    </row>
    <row r="133" spans="2:24">
      <c r="B133" s="610"/>
      <c r="C133" s="610"/>
    </row>
    <row r="134" spans="2:24" ht="15">
      <c r="B134" s="610" t="s">
        <v>785</v>
      </c>
      <c r="C134" s="610"/>
      <c r="E134" s="569">
        <v>55351</v>
      </c>
      <c r="G134" s="569">
        <v>6295</v>
      </c>
      <c r="I134" s="569">
        <v>6295</v>
      </c>
      <c r="Q134" s="611">
        <v>49056</v>
      </c>
      <c r="R134" s="611"/>
      <c r="T134" s="611">
        <v>49056</v>
      </c>
      <c r="U134" s="611"/>
      <c r="W134" s="611">
        <v>49056</v>
      </c>
      <c r="X134" s="611"/>
    </row>
    <row r="135" spans="2:24">
      <c r="B135" s="610"/>
      <c r="C135" s="610"/>
    </row>
    <row r="136" spans="2:24" ht="15">
      <c r="B136" s="610" t="s">
        <v>784</v>
      </c>
      <c r="C136" s="610"/>
      <c r="E136" s="569">
        <v>2015745</v>
      </c>
      <c r="G136" s="569">
        <v>1115238</v>
      </c>
      <c r="I136" s="569">
        <v>1087212</v>
      </c>
      <c r="M136" s="614">
        <v>60596</v>
      </c>
      <c r="N136" s="614"/>
      <c r="O136" s="614"/>
      <c r="Q136" s="611">
        <v>928533</v>
      </c>
      <c r="R136" s="611"/>
      <c r="T136" s="611">
        <v>928533</v>
      </c>
      <c r="U136" s="611"/>
      <c r="W136" s="611">
        <v>867937</v>
      </c>
      <c r="X136" s="611"/>
    </row>
    <row r="137" spans="2:24">
      <c r="B137" s="610"/>
      <c r="C137" s="610"/>
    </row>
    <row r="138" spans="2:24" ht="15">
      <c r="B138" s="610" t="s">
        <v>783</v>
      </c>
      <c r="C138" s="610"/>
      <c r="E138" s="569">
        <v>939944</v>
      </c>
      <c r="G138" s="569">
        <v>254795</v>
      </c>
      <c r="I138" s="569">
        <v>421652</v>
      </c>
      <c r="M138" s="614">
        <v>3435</v>
      </c>
      <c r="N138" s="614"/>
      <c r="O138" s="614"/>
      <c r="Q138" s="611">
        <v>518292</v>
      </c>
      <c r="R138" s="611"/>
      <c r="T138" s="611">
        <v>518292</v>
      </c>
      <c r="U138" s="611"/>
      <c r="W138" s="611">
        <v>514857</v>
      </c>
      <c r="X138" s="611"/>
    </row>
    <row r="139" spans="2:24">
      <c r="B139" s="610"/>
      <c r="C139" s="610"/>
    </row>
    <row r="140" spans="2:24" ht="15">
      <c r="B140" s="610" t="s">
        <v>782</v>
      </c>
      <c r="C140" s="610"/>
      <c r="E140" s="569">
        <v>472642</v>
      </c>
      <c r="G140" s="569">
        <v>109861</v>
      </c>
      <c r="I140" s="569">
        <v>183999</v>
      </c>
      <c r="Q140" s="611">
        <v>288643</v>
      </c>
      <c r="R140" s="611"/>
      <c r="T140" s="611">
        <v>288643</v>
      </c>
      <c r="U140" s="611"/>
      <c r="W140" s="611">
        <v>288643</v>
      </c>
      <c r="X140" s="611"/>
    </row>
    <row r="141" spans="2:24">
      <c r="B141" s="610"/>
      <c r="C141" s="610"/>
    </row>
    <row r="142" spans="2:24" ht="15">
      <c r="B142" s="610" t="s">
        <v>781</v>
      </c>
      <c r="C142" s="610"/>
      <c r="E142" s="569">
        <v>36826</v>
      </c>
      <c r="G142" s="569">
        <v>24099</v>
      </c>
      <c r="I142" s="569">
        <v>36826</v>
      </c>
    </row>
    <row r="143" spans="2:24">
      <c r="B143" s="610"/>
      <c r="C143" s="610"/>
    </row>
    <row r="144" spans="2:24" ht="15">
      <c r="B144" s="610" t="s">
        <v>780</v>
      </c>
      <c r="C144" s="610"/>
      <c r="E144" s="569">
        <v>410400</v>
      </c>
      <c r="G144" s="569">
        <v>410400</v>
      </c>
      <c r="I144" s="569">
        <v>410400</v>
      </c>
    </row>
    <row r="145" spans="2:24">
      <c r="B145" s="610"/>
      <c r="C145" s="610"/>
    </row>
    <row r="146" spans="2:24" ht="15">
      <c r="B146" s="610" t="s">
        <v>779</v>
      </c>
      <c r="C146" s="610"/>
      <c r="E146" s="569">
        <v>19295154</v>
      </c>
      <c r="G146" s="569">
        <v>19081786</v>
      </c>
      <c r="I146" s="569">
        <v>19081786</v>
      </c>
      <c r="Q146" s="611">
        <v>213368</v>
      </c>
      <c r="R146" s="611"/>
      <c r="T146" s="611">
        <v>213368</v>
      </c>
      <c r="U146" s="611"/>
      <c r="W146" s="611">
        <v>213368</v>
      </c>
      <c r="X146" s="611"/>
    </row>
    <row r="147" spans="2:24">
      <c r="B147" s="610"/>
      <c r="C147" s="610"/>
    </row>
    <row r="148" spans="2:24" s="581" customFormat="1" ht="15">
      <c r="B148" s="612" t="s">
        <v>778</v>
      </c>
      <c r="C148" s="612"/>
      <c r="E148" s="582">
        <v>247617</v>
      </c>
      <c r="Q148" s="613">
        <v>247617</v>
      </c>
      <c r="R148" s="613"/>
      <c r="T148" s="613">
        <v>247617</v>
      </c>
      <c r="U148" s="613"/>
      <c r="W148" s="613">
        <v>247617</v>
      </c>
      <c r="X148" s="613"/>
    </row>
    <row r="149" spans="2:24" s="581" customFormat="1">
      <c r="B149" s="612"/>
      <c r="C149" s="612"/>
    </row>
    <row r="150" spans="2:24" s="581" customFormat="1" ht="15">
      <c r="B150" s="612" t="s">
        <v>777</v>
      </c>
      <c r="C150" s="612"/>
      <c r="E150" s="582">
        <v>114997</v>
      </c>
      <c r="I150" s="582">
        <v>114997</v>
      </c>
    </row>
    <row r="151" spans="2:24" s="581" customFormat="1">
      <c r="B151" s="612"/>
      <c r="C151" s="612"/>
    </row>
    <row r="152" spans="2:24" s="581" customFormat="1" ht="15">
      <c r="B152" s="612" t="s">
        <v>776</v>
      </c>
      <c r="C152" s="612"/>
      <c r="E152" s="582">
        <v>247617</v>
      </c>
      <c r="I152" s="582">
        <v>247617</v>
      </c>
    </row>
    <row r="153" spans="2:24" s="581" customFormat="1">
      <c r="B153" s="612"/>
      <c r="C153" s="612"/>
    </row>
    <row r="154" spans="2:24" s="581" customFormat="1" ht="15">
      <c r="B154" s="612" t="s">
        <v>775</v>
      </c>
      <c r="C154" s="612"/>
      <c r="E154" s="582">
        <v>73214</v>
      </c>
      <c r="I154" s="582">
        <v>73214</v>
      </c>
    </row>
    <row r="155" spans="2:24" s="581" customFormat="1">
      <c r="B155" s="612"/>
      <c r="C155" s="612"/>
    </row>
    <row r="156" spans="2:24" s="581" customFormat="1" ht="15">
      <c r="B156" s="612" t="s">
        <v>774</v>
      </c>
      <c r="C156" s="612"/>
      <c r="E156" s="582">
        <v>2040</v>
      </c>
      <c r="I156" s="582">
        <v>2040</v>
      </c>
    </row>
    <row r="157" spans="2:24" s="581" customFormat="1">
      <c r="B157" s="612"/>
      <c r="C157" s="612"/>
    </row>
    <row r="158" spans="2:24" s="581" customFormat="1" ht="15">
      <c r="B158" s="612" t="s">
        <v>773</v>
      </c>
      <c r="C158" s="612"/>
      <c r="E158" s="582">
        <v>217700</v>
      </c>
      <c r="G158" s="582">
        <v>5400</v>
      </c>
      <c r="I158" s="582">
        <v>217700</v>
      </c>
    </row>
    <row r="159" spans="2:24" s="581" customFormat="1">
      <c r="B159" s="612"/>
      <c r="C159" s="612"/>
    </row>
    <row r="160" spans="2:24" s="581" customFormat="1" ht="15">
      <c r="B160" s="612" t="s">
        <v>772</v>
      </c>
      <c r="C160" s="612"/>
      <c r="E160" s="582">
        <v>114997</v>
      </c>
      <c r="Q160" s="613">
        <v>114997</v>
      </c>
      <c r="R160" s="613"/>
      <c r="T160" s="613">
        <v>114997</v>
      </c>
      <c r="U160" s="613"/>
      <c r="W160" s="613">
        <v>114997</v>
      </c>
      <c r="X160" s="613"/>
    </row>
    <row r="161" spans="2:25" s="581" customFormat="1">
      <c r="B161" s="612"/>
      <c r="C161" s="612"/>
    </row>
    <row r="162" spans="2:25" s="581" customFormat="1">
      <c r="B162" s="612"/>
      <c r="C162" s="612"/>
    </row>
    <row r="163" spans="2:25" s="581" customFormat="1" ht="15">
      <c r="B163" s="612" t="s">
        <v>771</v>
      </c>
      <c r="C163" s="612"/>
      <c r="E163" s="582">
        <v>73214</v>
      </c>
      <c r="Q163" s="613">
        <v>73214</v>
      </c>
      <c r="R163" s="613"/>
      <c r="T163" s="613">
        <v>73214</v>
      </c>
      <c r="U163" s="613"/>
      <c r="W163" s="613">
        <v>73214</v>
      </c>
      <c r="X163" s="613"/>
    </row>
    <row r="164" spans="2:25" s="581" customFormat="1">
      <c r="B164" s="612"/>
      <c r="C164" s="612"/>
    </row>
    <row r="165" spans="2:25" s="581" customFormat="1">
      <c r="B165" s="612"/>
      <c r="C165" s="612"/>
    </row>
    <row r="166" spans="2:25" s="581" customFormat="1" ht="15">
      <c r="B166" s="612" t="s">
        <v>770</v>
      </c>
      <c r="C166" s="612"/>
      <c r="E166" s="582">
        <v>212300</v>
      </c>
      <c r="Q166" s="613">
        <v>212300</v>
      </c>
      <c r="R166" s="613"/>
      <c r="T166" s="613">
        <v>212300</v>
      </c>
      <c r="U166" s="613"/>
      <c r="W166" s="613">
        <v>212300</v>
      </c>
      <c r="X166" s="613"/>
    </row>
    <row r="167" spans="2:25" s="581" customFormat="1">
      <c r="B167" s="612"/>
      <c r="C167" s="612"/>
    </row>
    <row r="168" spans="2:25" s="581" customFormat="1">
      <c r="B168" s="612"/>
      <c r="C168" s="612"/>
    </row>
    <row r="169" spans="2:25" s="581" customFormat="1" ht="15">
      <c r="B169" s="610" t="s">
        <v>769</v>
      </c>
      <c r="C169" s="610"/>
      <c r="E169" s="582">
        <v>2040</v>
      </c>
      <c r="Q169" s="613">
        <v>2040</v>
      </c>
      <c r="R169" s="613"/>
      <c r="T169" s="613">
        <v>2040</v>
      </c>
      <c r="U169" s="613"/>
      <c r="W169" s="613">
        <v>2040</v>
      </c>
      <c r="X169" s="613"/>
      <c r="Y169" s="583">
        <f>SUM(Q148:R169)</f>
        <v>650168</v>
      </c>
    </row>
    <row r="170" spans="2:25">
      <c r="B170" s="610"/>
      <c r="C170" s="610"/>
    </row>
    <row r="171" spans="2:25" ht="15">
      <c r="B171" s="610" t="s">
        <v>768</v>
      </c>
      <c r="C171" s="610"/>
      <c r="E171" s="569">
        <v>60000</v>
      </c>
      <c r="Q171" s="611">
        <v>60000</v>
      </c>
      <c r="R171" s="611"/>
      <c r="T171" s="611">
        <v>60000</v>
      </c>
      <c r="U171" s="611"/>
      <c r="W171" s="611">
        <v>60000</v>
      </c>
      <c r="X171" s="611"/>
    </row>
    <row r="172" spans="2:25">
      <c r="B172" s="610"/>
      <c r="C172" s="610"/>
    </row>
    <row r="173" spans="2:25">
      <c r="B173" s="610"/>
      <c r="C173" s="610"/>
    </row>
    <row r="174" spans="2:25" ht="15">
      <c r="B174" s="610" t="s">
        <v>767</v>
      </c>
      <c r="C174" s="610"/>
      <c r="E174" s="569">
        <v>230000</v>
      </c>
      <c r="Q174" s="611">
        <v>230000</v>
      </c>
      <c r="R174" s="611"/>
      <c r="T174" s="611">
        <v>230000</v>
      </c>
      <c r="U174" s="611"/>
      <c r="W174" s="611">
        <v>230000</v>
      </c>
      <c r="X174" s="611"/>
    </row>
    <row r="175" spans="2:25">
      <c r="B175" s="610"/>
      <c r="C175" s="610"/>
    </row>
    <row r="176" spans="2:25" ht="15">
      <c r="B176" s="610" t="s">
        <v>766</v>
      </c>
      <c r="C176" s="610"/>
      <c r="E176" s="569">
        <v>262135</v>
      </c>
      <c r="Q176" s="611">
        <v>262135</v>
      </c>
      <c r="R176" s="611"/>
      <c r="T176" s="611">
        <v>262135</v>
      </c>
      <c r="U176" s="611"/>
      <c r="W176" s="611">
        <v>262135</v>
      </c>
      <c r="X176" s="611"/>
    </row>
    <row r="177" spans="2:24">
      <c r="B177" s="610"/>
      <c r="C177" s="610"/>
    </row>
    <row r="178" spans="2:24">
      <c r="B178" s="610"/>
      <c r="C178" s="610"/>
    </row>
    <row r="179" spans="2:24" ht="15">
      <c r="B179" s="610" t="s">
        <v>765</v>
      </c>
      <c r="C179" s="610"/>
      <c r="E179" s="569">
        <v>13300</v>
      </c>
      <c r="Q179" s="611">
        <v>13300</v>
      </c>
      <c r="R179" s="611"/>
      <c r="T179" s="611">
        <v>13300</v>
      </c>
      <c r="U179" s="611"/>
      <c r="W179" s="611">
        <v>13300</v>
      </c>
      <c r="X179" s="611"/>
    </row>
    <row r="180" spans="2:24">
      <c r="B180" s="610"/>
      <c r="C180" s="610"/>
    </row>
    <row r="181" spans="2:24" ht="15">
      <c r="B181" s="610" t="s">
        <v>764</v>
      </c>
      <c r="C181" s="610"/>
      <c r="E181" s="569">
        <v>25000</v>
      </c>
      <c r="G181" s="569">
        <v>25000</v>
      </c>
      <c r="I181" s="569">
        <v>25000</v>
      </c>
    </row>
    <row r="182" spans="2:24">
      <c r="B182" s="610"/>
      <c r="C182" s="610"/>
    </row>
    <row r="183" spans="2:24">
      <c r="B183" s="610"/>
      <c r="C183" s="610"/>
    </row>
    <row r="184" spans="2:24" ht="15">
      <c r="B184" s="610" t="s">
        <v>763</v>
      </c>
      <c r="C184" s="610"/>
      <c r="E184" s="569">
        <v>130191</v>
      </c>
      <c r="G184" s="569">
        <v>51644</v>
      </c>
      <c r="I184" s="569">
        <v>51644</v>
      </c>
      <c r="Q184" s="611">
        <v>78547</v>
      </c>
      <c r="R184" s="611"/>
      <c r="T184" s="611">
        <v>78547</v>
      </c>
      <c r="U184" s="611"/>
      <c r="W184" s="611">
        <v>78547</v>
      </c>
      <c r="X184" s="611"/>
    </row>
    <row r="185" spans="2:24">
      <c r="B185" s="610"/>
      <c r="C185" s="610"/>
    </row>
    <row r="186" spans="2:24" ht="15">
      <c r="B186" s="610" t="s">
        <v>762</v>
      </c>
      <c r="C186" s="610"/>
      <c r="E186" s="569">
        <v>200</v>
      </c>
      <c r="G186" s="569">
        <v>200</v>
      </c>
      <c r="I186" s="569">
        <v>200</v>
      </c>
    </row>
    <row r="187" spans="2:24">
      <c r="B187" s="610"/>
      <c r="C187" s="610"/>
    </row>
    <row r="188" spans="2:24" ht="15">
      <c r="B188" s="610" t="s">
        <v>761</v>
      </c>
      <c r="C188" s="610"/>
      <c r="E188" s="569">
        <v>5000</v>
      </c>
      <c r="Q188" s="611">
        <v>5000</v>
      </c>
      <c r="R188" s="611"/>
      <c r="T188" s="611">
        <v>5000</v>
      </c>
      <c r="U188" s="611"/>
      <c r="W188" s="611">
        <v>5000</v>
      </c>
      <c r="X188" s="611"/>
    </row>
    <row r="189" spans="2:24">
      <c r="B189" s="610"/>
      <c r="C189" s="610"/>
    </row>
    <row r="190" spans="2:24" ht="15">
      <c r="B190" s="610" t="s">
        <v>760</v>
      </c>
      <c r="C190" s="610"/>
      <c r="E190" s="569">
        <v>1249</v>
      </c>
      <c r="Q190" s="611">
        <v>1249</v>
      </c>
      <c r="R190" s="611"/>
      <c r="T190" s="611">
        <v>1249</v>
      </c>
      <c r="U190" s="611"/>
      <c r="W190" s="611">
        <v>1249</v>
      </c>
      <c r="X190" s="611"/>
    </row>
    <row r="191" spans="2:24">
      <c r="B191" s="610"/>
      <c r="C191" s="610"/>
    </row>
    <row r="192" spans="2:24" ht="15">
      <c r="B192" s="610" t="s">
        <v>759</v>
      </c>
      <c r="C192" s="610"/>
      <c r="E192" s="569">
        <v>82047</v>
      </c>
      <c r="G192" s="569">
        <v>80769</v>
      </c>
      <c r="I192" s="569">
        <v>80769</v>
      </c>
      <c r="Q192" s="611">
        <v>1278</v>
      </c>
      <c r="R192" s="611"/>
      <c r="T192" s="611">
        <v>1278</v>
      </c>
      <c r="U192" s="611"/>
      <c r="W192" s="611">
        <v>1278</v>
      </c>
      <c r="X192" s="611"/>
    </row>
    <row r="193" spans="2:24">
      <c r="B193" s="610"/>
      <c r="C193" s="610"/>
    </row>
    <row r="194" spans="2:24" ht="15">
      <c r="B194" s="610" t="s">
        <v>758</v>
      </c>
      <c r="C194" s="610"/>
      <c r="E194" s="569">
        <v>314935</v>
      </c>
      <c r="G194" s="569">
        <v>162495</v>
      </c>
      <c r="I194" s="569">
        <v>174975</v>
      </c>
      <c r="Q194" s="611">
        <v>139960</v>
      </c>
      <c r="R194" s="611"/>
      <c r="T194" s="611">
        <v>139960</v>
      </c>
      <c r="U194" s="611"/>
      <c r="W194" s="611">
        <v>139960</v>
      </c>
      <c r="X194" s="611"/>
    </row>
    <row r="195" spans="2:24">
      <c r="B195" s="610"/>
      <c r="C195" s="610"/>
    </row>
    <row r="196" spans="2:24" ht="15">
      <c r="B196" s="610" t="s">
        <v>757</v>
      </c>
      <c r="C196" s="610"/>
      <c r="E196" s="569">
        <v>30000</v>
      </c>
      <c r="Q196" s="611">
        <v>30000</v>
      </c>
      <c r="R196" s="611"/>
      <c r="T196" s="611">
        <v>30000</v>
      </c>
      <c r="U196" s="611"/>
      <c r="W196" s="611">
        <v>30000</v>
      </c>
      <c r="X196" s="611"/>
    </row>
    <row r="197" spans="2:24">
      <c r="B197" s="610"/>
      <c r="C197" s="610"/>
    </row>
    <row r="198" spans="2:24">
      <c r="B198" s="610"/>
      <c r="C198" s="610"/>
    </row>
    <row r="199" spans="2:24" ht="15">
      <c r="B199" s="610" t="s">
        <v>756</v>
      </c>
      <c r="C199" s="610"/>
      <c r="E199" s="569">
        <v>1260</v>
      </c>
      <c r="Q199" s="611">
        <v>1260</v>
      </c>
      <c r="R199" s="611"/>
      <c r="T199" s="611">
        <v>1260</v>
      </c>
      <c r="U199" s="611"/>
      <c r="W199" s="611">
        <v>1260</v>
      </c>
      <c r="X199" s="611"/>
    </row>
    <row r="200" spans="2:24">
      <c r="B200" s="610"/>
      <c r="C200" s="610"/>
    </row>
    <row r="201" spans="2:24">
      <c r="B201" s="610"/>
      <c r="C201" s="610"/>
    </row>
    <row r="202" spans="2:24" ht="15">
      <c r="B202" s="610" t="s">
        <v>755</v>
      </c>
      <c r="C202" s="610"/>
      <c r="E202" s="569">
        <v>77760</v>
      </c>
      <c r="Q202" s="611">
        <v>77760</v>
      </c>
      <c r="R202" s="611"/>
      <c r="T202" s="611">
        <v>77760</v>
      </c>
      <c r="U202" s="611"/>
      <c r="W202" s="611">
        <v>77760</v>
      </c>
      <c r="X202" s="611"/>
    </row>
    <row r="203" spans="2:24">
      <c r="B203" s="610"/>
      <c r="C203" s="610"/>
    </row>
    <row r="204" spans="2:24">
      <c r="B204" s="610"/>
      <c r="C204" s="610"/>
    </row>
    <row r="205" spans="2:24" ht="15">
      <c r="B205" s="610" t="s">
        <v>754</v>
      </c>
      <c r="C205" s="610"/>
      <c r="E205" s="569">
        <v>8400</v>
      </c>
      <c r="Q205" s="611">
        <v>8400</v>
      </c>
      <c r="R205" s="611"/>
      <c r="T205" s="611">
        <v>8400</v>
      </c>
      <c r="U205" s="611"/>
      <c r="W205" s="611">
        <v>8400</v>
      </c>
      <c r="X205" s="611"/>
    </row>
    <row r="206" spans="2:24">
      <c r="B206" s="610"/>
      <c r="C206" s="610"/>
    </row>
    <row r="207" spans="2:24" ht="15">
      <c r="B207" s="610" t="s">
        <v>753</v>
      </c>
      <c r="C207" s="610"/>
      <c r="E207" s="569">
        <v>7165</v>
      </c>
      <c r="Q207" s="611">
        <v>7165</v>
      </c>
      <c r="R207" s="611"/>
      <c r="T207" s="611">
        <v>7165</v>
      </c>
      <c r="U207" s="611"/>
      <c r="W207" s="611">
        <v>7165</v>
      </c>
      <c r="X207" s="611"/>
    </row>
    <row r="208" spans="2:24">
      <c r="B208" s="610"/>
      <c r="C208" s="610"/>
    </row>
    <row r="209" spans="2:24">
      <c r="B209" s="610"/>
      <c r="C209" s="610"/>
    </row>
    <row r="210" spans="2:24" ht="15">
      <c r="B210" s="610" t="s">
        <v>752</v>
      </c>
      <c r="C210" s="610"/>
      <c r="E210" s="569">
        <v>47865</v>
      </c>
      <c r="Q210" s="611">
        <v>47865</v>
      </c>
      <c r="R210" s="611"/>
      <c r="T210" s="611">
        <v>47865</v>
      </c>
      <c r="U210" s="611"/>
      <c r="W210" s="611">
        <v>47865</v>
      </c>
      <c r="X210" s="611"/>
    </row>
    <row r="211" spans="2:24">
      <c r="B211" s="610"/>
      <c r="C211" s="610"/>
    </row>
    <row r="212" spans="2:24">
      <c r="B212" s="610"/>
      <c r="C212" s="610"/>
    </row>
    <row r="213" spans="2:24" ht="15">
      <c r="B213" s="610" t="s">
        <v>751</v>
      </c>
      <c r="C213" s="610"/>
      <c r="E213" s="569">
        <v>123920</v>
      </c>
      <c r="Q213" s="611">
        <v>123920</v>
      </c>
      <c r="R213" s="611"/>
      <c r="T213" s="611">
        <v>123920</v>
      </c>
      <c r="U213" s="611"/>
      <c r="W213" s="611">
        <v>123920</v>
      </c>
      <c r="X213" s="611"/>
    </row>
    <row r="214" spans="2:24">
      <c r="B214" s="610"/>
      <c r="C214" s="610"/>
    </row>
    <row r="215" spans="2:24">
      <c r="B215" s="610"/>
      <c r="C215" s="610"/>
    </row>
    <row r="216" spans="2:24" ht="15">
      <c r="B216" s="610" t="s">
        <v>750</v>
      </c>
      <c r="C216" s="610"/>
      <c r="E216" s="569">
        <v>9800</v>
      </c>
      <c r="Q216" s="611">
        <v>9800</v>
      </c>
      <c r="R216" s="611"/>
      <c r="T216" s="611">
        <v>9800</v>
      </c>
      <c r="U216" s="611"/>
      <c r="W216" s="611">
        <v>9800</v>
      </c>
      <c r="X216" s="611"/>
    </row>
    <row r="217" spans="2:24">
      <c r="B217" s="610"/>
      <c r="C217" s="610"/>
    </row>
    <row r="218" spans="2:24">
      <c r="B218" s="610"/>
      <c r="C218" s="610"/>
    </row>
    <row r="219" spans="2:24" ht="15">
      <c r="B219" s="610" t="s">
        <v>749</v>
      </c>
      <c r="C219" s="610"/>
      <c r="E219" s="569">
        <v>10000</v>
      </c>
      <c r="Q219" s="611">
        <v>10000</v>
      </c>
      <c r="R219" s="611"/>
      <c r="T219" s="611">
        <v>10000</v>
      </c>
      <c r="U219" s="611"/>
      <c r="W219" s="611">
        <v>10000</v>
      </c>
      <c r="X219" s="611"/>
    </row>
    <row r="220" spans="2:24">
      <c r="B220" s="610"/>
      <c r="C220" s="610"/>
    </row>
    <row r="221" spans="2:24">
      <c r="B221" s="610"/>
      <c r="C221" s="610"/>
    </row>
    <row r="222" spans="2:24" ht="15">
      <c r="B222" s="610" t="s">
        <v>748</v>
      </c>
      <c r="C222" s="610"/>
      <c r="E222" s="569">
        <v>26880</v>
      </c>
      <c r="Q222" s="611">
        <v>26880</v>
      </c>
      <c r="R222" s="611"/>
      <c r="T222" s="611">
        <v>26880</v>
      </c>
      <c r="U222" s="611"/>
      <c r="W222" s="611">
        <v>26880</v>
      </c>
      <c r="X222" s="611"/>
    </row>
    <row r="223" spans="2:24">
      <c r="B223" s="610"/>
      <c r="C223" s="610"/>
    </row>
    <row r="224" spans="2:24">
      <c r="B224" s="610"/>
      <c r="C224" s="610"/>
    </row>
    <row r="225" spans="2:24" ht="15">
      <c r="B225" s="610" t="s">
        <v>747</v>
      </c>
      <c r="C225" s="610"/>
      <c r="E225" s="569">
        <v>5000</v>
      </c>
      <c r="Q225" s="611">
        <v>5000</v>
      </c>
      <c r="R225" s="611"/>
      <c r="T225" s="611">
        <v>5000</v>
      </c>
      <c r="U225" s="611"/>
      <c r="W225" s="611">
        <v>5000</v>
      </c>
      <c r="X225" s="611"/>
    </row>
    <row r="226" spans="2:24">
      <c r="B226" s="610"/>
      <c r="C226" s="610"/>
    </row>
    <row r="227" spans="2:24">
      <c r="B227" s="610"/>
      <c r="C227" s="610"/>
    </row>
    <row r="228" spans="2:24" ht="15">
      <c r="B228" s="610" t="s">
        <v>746</v>
      </c>
      <c r="C228" s="610"/>
      <c r="E228" s="569">
        <v>4000</v>
      </c>
      <c r="Q228" s="611">
        <v>4000</v>
      </c>
      <c r="R228" s="611"/>
      <c r="T228" s="611">
        <v>4000</v>
      </c>
      <c r="U228" s="611"/>
      <c r="W228" s="611">
        <v>4000</v>
      </c>
      <c r="X228" s="611"/>
    </row>
    <row r="229" spans="2:24">
      <c r="B229" s="610"/>
      <c r="C229" s="610"/>
    </row>
    <row r="230" spans="2:24">
      <c r="B230" s="610"/>
      <c r="C230" s="610"/>
    </row>
    <row r="231" spans="2:24" ht="15">
      <c r="B231" s="610" t="s">
        <v>745</v>
      </c>
      <c r="C231" s="610"/>
      <c r="E231" s="569">
        <v>240000</v>
      </c>
      <c r="Q231" s="611">
        <v>240000</v>
      </c>
      <c r="R231" s="611"/>
      <c r="T231" s="611">
        <v>240000</v>
      </c>
      <c r="U231" s="611"/>
      <c r="W231" s="611">
        <v>240000</v>
      </c>
      <c r="X231" s="611"/>
    </row>
    <row r="232" spans="2:24">
      <c r="B232" s="610"/>
      <c r="C232" s="610"/>
    </row>
    <row r="233" spans="2:24">
      <c r="B233" s="610"/>
      <c r="C233" s="610"/>
    </row>
    <row r="234" spans="2:24" ht="15">
      <c r="B234" s="610" t="s">
        <v>744</v>
      </c>
      <c r="C234" s="610"/>
      <c r="E234" s="569">
        <v>5000</v>
      </c>
      <c r="Q234" s="611">
        <v>5000</v>
      </c>
      <c r="R234" s="611"/>
      <c r="T234" s="611">
        <v>5000</v>
      </c>
      <c r="U234" s="611"/>
      <c r="W234" s="611">
        <v>5000</v>
      </c>
      <c r="X234" s="611"/>
    </row>
    <row r="235" spans="2:24">
      <c r="B235" s="610"/>
      <c r="C235" s="610"/>
    </row>
    <row r="236" spans="2:24">
      <c r="B236" s="610"/>
      <c r="C236" s="610"/>
    </row>
    <row r="237" spans="2:24" ht="15">
      <c r="B237" s="610" t="s">
        <v>743</v>
      </c>
      <c r="C237" s="610"/>
      <c r="E237" s="569">
        <v>20885</v>
      </c>
      <c r="Q237" s="611">
        <v>20885</v>
      </c>
      <c r="R237" s="611"/>
      <c r="T237" s="611">
        <v>20885</v>
      </c>
      <c r="U237" s="611"/>
      <c r="W237" s="611">
        <v>20885</v>
      </c>
      <c r="X237" s="611"/>
    </row>
    <row r="238" spans="2:24">
      <c r="B238" s="610"/>
      <c r="C238" s="610"/>
    </row>
    <row r="239" spans="2:24" ht="15">
      <c r="B239" s="610" t="s">
        <v>742</v>
      </c>
      <c r="C239" s="610"/>
      <c r="E239" s="569">
        <v>93600</v>
      </c>
      <c r="Q239" s="611">
        <v>93600</v>
      </c>
      <c r="R239" s="611"/>
      <c r="T239" s="611">
        <v>93600</v>
      </c>
      <c r="U239" s="611"/>
      <c r="W239" s="611">
        <v>93600</v>
      </c>
      <c r="X239" s="611"/>
    </row>
    <row r="240" spans="2:24">
      <c r="B240" s="610"/>
      <c r="C240" s="610"/>
    </row>
    <row r="241" spans="2:24">
      <c r="B241" s="610"/>
      <c r="C241" s="610"/>
    </row>
    <row r="242" spans="2:24" ht="15">
      <c r="B242" s="610" t="s">
        <v>741</v>
      </c>
      <c r="C242" s="610"/>
      <c r="E242" s="569">
        <v>10000</v>
      </c>
      <c r="G242" s="569">
        <v>10000</v>
      </c>
      <c r="I242" s="569">
        <v>10000</v>
      </c>
    </row>
    <row r="243" spans="2:24">
      <c r="B243" s="610"/>
      <c r="C243" s="610"/>
    </row>
    <row r="244" spans="2:24">
      <c r="B244" s="610"/>
      <c r="C244" s="610"/>
    </row>
    <row r="245" spans="2:24" ht="15">
      <c r="B245" s="610" t="s">
        <v>740</v>
      </c>
      <c r="C245" s="610"/>
      <c r="E245" s="569">
        <v>9102</v>
      </c>
      <c r="Q245" s="611">
        <v>9102</v>
      </c>
      <c r="R245" s="611"/>
      <c r="T245" s="611">
        <v>9102</v>
      </c>
      <c r="U245" s="611"/>
      <c r="W245" s="611">
        <v>9102</v>
      </c>
      <c r="X245" s="611"/>
    </row>
    <row r="246" spans="2:24">
      <c r="B246" s="610"/>
      <c r="C246" s="610"/>
    </row>
    <row r="247" spans="2:24">
      <c r="B247" s="610"/>
      <c r="C247" s="610"/>
    </row>
    <row r="248" spans="2:24" ht="15">
      <c r="B248" s="610" t="s">
        <v>739</v>
      </c>
      <c r="C248" s="610"/>
      <c r="E248" s="569">
        <v>39332</v>
      </c>
      <c r="Q248" s="611">
        <v>39332</v>
      </c>
      <c r="R248" s="611"/>
      <c r="T248" s="611">
        <v>39332</v>
      </c>
      <c r="U248" s="611"/>
      <c r="W248" s="611">
        <v>39332</v>
      </c>
      <c r="X248" s="611"/>
    </row>
    <row r="249" spans="2:24">
      <c r="B249" s="610"/>
      <c r="C249" s="610"/>
    </row>
    <row r="250" spans="2:24">
      <c r="B250" s="610"/>
      <c r="C250" s="610"/>
    </row>
    <row r="251" spans="2:24" ht="15">
      <c r="B251" s="610" t="s">
        <v>738</v>
      </c>
      <c r="C251" s="610"/>
      <c r="E251" s="569">
        <v>2468</v>
      </c>
      <c r="Q251" s="611">
        <v>2468</v>
      </c>
      <c r="R251" s="611"/>
      <c r="T251" s="611">
        <v>2468</v>
      </c>
      <c r="U251" s="611"/>
      <c r="W251" s="611">
        <v>2468</v>
      </c>
      <c r="X251" s="611"/>
    </row>
    <row r="252" spans="2:24">
      <c r="B252" s="610"/>
      <c r="C252" s="610"/>
    </row>
    <row r="253" spans="2:24">
      <c r="B253" s="610"/>
      <c r="C253" s="610"/>
    </row>
    <row r="254" spans="2:24" ht="15">
      <c r="B254" s="610" t="s">
        <v>737</v>
      </c>
      <c r="C254" s="610"/>
      <c r="E254" s="569">
        <v>80000</v>
      </c>
      <c r="Q254" s="611">
        <v>80000</v>
      </c>
      <c r="R254" s="611"/>
      <c r="T254" s="611">
        <v>80000</v>
      </c>
      <c r="U254" s="611"/>
      <c r="W254" s="611">
        <v>80000</v>
      </c>
      <c r="X254" s="611"/>
    </row>
    <row r="255" spans="2:24">
      <c r="B255" s="610"/>
      <c r="C255" s="610"/>
    </row>
    <row r="256" spans="2:24">
      <c r="B256" s="610"/>
      <c r="C256" s="610"/>
    </row>
    <row r="257" spans="2:24" ht="15">
      <c r="B257" s="610" t="s">
        <v>736</v>
      </c>
      <c r="C257" s="610"/>
      <c r="E257" s="569">
        <v>2230</v>
      </c>
      <c r="G257" s="569">
        <v>2230</v>
      </c>
      <c r="I257" s="569">
        <v>2230</v>
      </c>
    </row>
    <row r="258" spans="2:24">
      <c r="B258" s="610"/>
      <c r="C258" s="610"/>
    </row>
    <row r="259" spans="2:24" ht="15">
      <c r="B259" s="610" t="s">
        <v>735</v>
      </c>
      <c r="C259" s="610"/>
      <c r="E259" s="569">
        <v>29970</v>
      </c>
      <c r="Q259" s="611">
        <v>29970</v>
      </c>
      <c r="R259" s="611"/>
      <c r="T259" s="611">
        <v>29970</v>
      </c>
      <c r="U259" s="611"/>
      <c r="W259" s="611">
        <v>29970</v>
      </c>
      <c r="X259" s="611"/>
    </row>
    <row r="260" spans="2:24">
      <c r="B260" s="610"/>
      <c r="C260" s="610"/>
    </row>
    <row r="261" spans="2:24">
      <c r="B261" s="610"/>
      <c r="C261" s="610"/>
    </row>
    <row r="262" spans="2:24" ht="15">
      <c r="B262" s="610" t="s">
        <v>734</v>
      </c>
      <c r="C262" s="610"/>
      <c r="E262" s="569">
        <v>10290</v>
      </c>
      <c r="Q262" s="611">
        <v>10290</v>
      </c>
      <c r="R262" s="611"/>
      <c r="T262" s="611">
        <v>10290</v>
      </c>
      <c r="U262" s="611"/>
      <c r="W262" s="611">
        <v>10290</v>
      </c>
      <c r="X262" s="611"/>
    </row>
    <row r="263" spans="2:24">
      <c r="B263" s="610"/>
      <c r="C263" s="610"/>
    </row>
    <row r="264" spans="2:24">
      <c r="B264" s="610"/>
      <c r="C264" s="610"/>
    </row>
    <row r="265" spans="2:24" ht="15">
      <c r="B265" s="610" t="s">
        <v>733</v>
      </c>
      <c r="C265" s="610"/>
      <c r="E265" s="569">
        <v>21896</v>
      </c>
      <c r="Q265" s="611">
        <v>21896</v>
      </c>
      <c r="R265" s="611"/>
      <c r="T265" s="611">
        <v>21896</v>
      </c>
      <c r="U265" s="611"/>
      <c r="W265" s="611">
        <v>21896</v>
      </c>
      <c r="X265" s="611"/>
    </row>
    <row r="266" spans="2:24">
      <c r="B266" s="610"/>
      <c r="C266" s="610"/>
    </row>
    <row r="267" spans="2:24">
      <c r="B267" s="610"/>
      <c r="C267" s="610"/>
    </row>
    <row r="268" spans="2:24" ht="15">
      <c r="B268" s="610" t="s">
        <v>732</v>
      </c>
      <c r="C268" s="610"/>
      <c r="E268" s="569">
        <v>5000</v>
      </c>
      <c r="Q268" s="611">
        <v>5000</v>
      </c>
      <c r="R268" s="611"/>
      <c r="T268" s="611">
        <v>5000</v>
      </c>
      <c r="U268" s="611"/>
      <c r="W268" s="611">
        <v>5000</v>
      </c>
      <c r="X268" s="611"/>
    </row>
    <row r="269" spans="2:24">
      <c r="B269" s="610"/>
      <c r="C269" s="610"/>
    </row>
    <row r="270" spans="2:24">
      <c r="B270" s="610"/>
      <c r="C270" s="610"/>
    </row>
    <row r="271" spans="2:24" ht="15">
      <c r="B271" s="568" t="s">
        <v>731</v>
      </c>
      <c r="E271" s="567">
        <v>59233565</v>
      </c>
      <c r="G271" s="567">
        <v>41674877</v>
      </c>
      <c r="I271" s="567">
        <v>40488844</v>
      </c>
      <c r="M271" s="609">
        <v>1439174</v>
      </c>
      <c r="N271" s="609"/>
      <c r="O271" s="609"/>
      <c r="Q271" s="609">
        <v>18744721</v>
      </c>
      <c r="R271" s="609"/>
      <c r="T271" s="609">
        <v>18744721</v>
      </c>
      <c r="U271" s="609"/>
      <c r="W271" s="609">
        <v>17305547</v>
      </c>
      <c r="X271" s="609"/>
    </row>
  </sheetData>
  <mergeCells count="405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Q11:R11"/>
    <mergeCell ref="T11:U11"/>
    <mergeCell ref="W11:X11"/>
    <mergeCell ref="B13:C14"/>
    <mergeCell ref="M13:O13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23:C24"/>
    <mergeCell ref="B25:C26"/>
    <mergeCell ref="B27:C28"/>
    <mergeCell ref="Q27:R27"/>
    <mergeCell ref="T27:U27"/>
    <mergeCell ref="W27:X27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M33:O33"/>
    <mergeCell ref="Q33:R33"/>
    <mergeCell ref="T33:U33"/>
    <mergeCell ref="B35:C36"/>
    <mergeCell ref="M35:O35"/>
    <mergeCell ref="Q35:R35"/>
    <mergeCell ref="T35:U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Q43:R43"/>
    <mergeCell ref="T43:U43"/>
    <mergeCell ref="W43:X43"/>
    <mergeCell ref="B45:C46"/>
    <mergeCell ref="M45:O45"/>
    <mergeCell ref="Q45:R45"/>
    <mergeCell ref="T45:U45"/>
    <mergeCell ref="B47:C48"/>
    <mergeCell ref="Q47:R47"/>
    <mergeCell ref="T47:U47"/>
    <mergeCell ref="W47:X47"/>
    <mergeCell ref="B49:C50"/>
    <mergeCell ref="Q49:R49"/>
    <mergeCell ref="T49:U49"/>
    <mergeCell ref="W49:X49"/>
    <mergeCell ref="B51:C52"/>
    <mergeCell ref="Q51:R51"/>
    <mergeCell ref="T51:U51"/>
    <mergeCell ref="W51:X51"/>
    <mergeCell ref="B53:C54"/>
    <mergeCell ref="Q53:R53"/>
    <mergeCell ref="T53:U53"/>
    <mergeCell ref="W53:X53"/>
    <mergeCell ref="B55:C56"/>
    <mergeCell ref="Q55:R55"/>
    <mergeCell ref="T55:U55"/>
    <mergeCell ref="W55:X55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Q61:R61"/>
    <mergeCell ref="T61:U61"/>
    <mergeCell ref="W61:X61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Q67:R67"/>
    <mergeCell ref="T67:U67"/>
    <mergeCell ref="W67:X67"/>
    <mergeCell ref="B69:C70"/>
    <mergeCell ref="Q69:R69"/>
    <mergeCell ref="T69:U69"/>
    <mergeCell ref="W69:X69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Q77:R77"/>
    <mergeCell ref="T77:U77"/>
    <mergeCell ref="W77:X77"/>
    <mergeCell ref="B79:C80"/>
    <mergeCell ref="Q79:R79"/>
    <mergeCell ref="T79:U79"/>
    <mergeCell ref="W79:X79"/>
    <mergeCell ref="B81:C82"/>
    <mergeCell ref="Q81:R81"/>
    <mergeCell ref="T81:U81"/>
    <mergeCell ref="W81:X81"/>
    <mergeCell ref="B83:C84"/>
    <mergeCell ref="Q83:R83"/>
    <mergeCell ref="T83:U83"/>
    <mergeCell ref="W83:X83"/>
    <mergeCell ref="B85:C86"/>
    <mergeCell ref="Q85:R85"/>
    <mergeCell ref="T85:U85"/>
    <mergeCell ref="W85:X85"/>
    <mergeCell ref="B87:C89"/>
    <mergeCell ref="B90:C91"/>
    <mergeCell ref="Q90:R90"/>
    <mergeCell ref="T90:U90"/>
    <mergeCell ref="W90:X90"/>
    <mergeCell ref="B92:C93"/>
    <mergeCell ref="B94:C96"/>
    <mergeCell ref="Q94:R94"/>
    <mergeCell ref="T94:U94"/>
    <mergeCell ref="W94:X94"/>
    <mergeCell ref="B97:C98"/>
    <mergeCell ref="Q97:R97"/>
    <mergeCell ref="T97:U97"/>
    <mergeCell ref="W97:X97"/>
    <mergeCell ref="B99:C100"/>
    <mergeCell ref="Q99:R99"/>
    <mergeCell ref="T99:U99"/>
    <mergeCell ref="W99:X99"/>
    <mergeCell ref="B101:C103"/>
    <mergeCell ref="B104:C105"/>
    <mergeCell ref="B106:C108"/>
    <mergeCell ref="Q106:R106"/>
    <mergeCell ref="T106:U106"/>
    <mergeCell ref="W106:X106"/>
    <mergeCell ref="B109:C110"/>
    <mergeCell ref="Q109:R109"/>
    <mergeCell ref="T109:U109"/>
    <mergeCell ref="W109:X109"/>
    <mergeCell ref="B111:C112"/>
    <mergeCell ref="Q111:R111"/>
    <mergeCell ref="T111:U111"/>
    <mergeCell ref="W111:X111"/>
    <mergeCell ref="B113:C115"/>
    <mergeCell ref="Q113:R113"/>
    <mergeCell ref="T113:U113"/>
    <mergeCell ref="W113:X113"/>
    <mergeCell ref="B116:C117"/>
    <mergeCell ref="Q116:R116"/>
    <mergeCell ref="T116:U116"/>
    <mergeCell ref="W116:X116"/>
    <mergeCell ref="B118:C119"/>
    <mergeCell ref="Q118:R118"/>
    <mergeCell ref="T118:U118"/>
    <mergeCell ref="W118:X118"/>
    <mergeCell ref="B120:C121"/>
    <mergeCell ref="Q120:R120"/>
    <mergeCell ref="T120:U120"/>
    <mergeCell ref="W120:X120"/>
    <mergeCell ref="B122:C123"/>
    <mergeCell ref="B124:C126"/>
    <mergeCell ref="Q124:R124"/>
    <mergeCell ref="T124:U124"/>
    <mergeCell ref="W124:X124"/>
    <mergeCell ref="B127:C128"/>
    <mergeCell ref="B129:C131"/>
    <mergeCell ref="Q129:R129"/>
    <mergeCell ref="T129:U129"/>
    <mergeCell ref="W129:X129"/>
    <mergeCell ref="B132:C133"/>
    <mergeCell ref="Q132:R132"/>
    <mergeCell ref="T132:U132"/>
    <mergeCell ref="W132:X132"/>
    <mergeCell ref="B134:C135"/>
    <mergeCell ref="Q134:R134"/>
    <mergeCell ref="T134:U134"/>
    <mergeCell ref="W134:X134"/>
    <mergeCell ref="B136:C137"/>
    <mergeCell ref="M136:O136"/>
    <mergeCell ref="Q136:R136"/>
    <mergeCell ref="T136:U136"/>
    <mergeCell ref="W136:X136"/>
    <mergeCell ref="B138:C139"/>
    <mergeCell ref="M138:O138"/>
    <mergeCell ref="Q138:R138"/>
    <mergeCell ref="T138:U138"/>
    <mergeCell ref="W138:X138"/>
    <mergeCell ref="B140:C141"/>
    <mergeCell ref="Q140:R140"/>
    <mergeCell ref="T140:U140"/>
    <mergeCell ref="W140:X140"/>
    <mergeCell ref="B142:C143"/>
    <mergeCell ref="B144:C145"/>
    <mergeCell ref="B146:C147"/>
    <mergeCell ref="Q146:R146"/>
    <mergeCell ref="T146:U146"/>
    <mergeCell ref="W146:X146"/>
    <mergeCell ref="B148:C149"/>
    <mergeCell ref="Q148:R148"/>
    <mergeCell ref="T148:U148"/>
    <mergeCell ref="W148:X148"/>
    <mergeCell ref="B150:C151"/>
    <mergeCell ref="B152:C153"/>
    <mergeCell ref="B154:C155"/>
    <mergeCell ref="B156:C157"/>
    <mergeCell ref="B158:C159"/>
    <mergeCell ref="B160:C162"/>
    <mergeCell ref="Q160:R160"/>
    <mergeCell ref="T160:U160"/>
    <mergeCell ref="W160:X160"/>
    <mergeCell ref="B163:C165"/>
    <mergeCell ref="Q163:R163"/>
    <mergeCell ref="T163:U163"/>
    <mergeCell ref="W163:X163"/>
    <mergeCell ref="B166:C168"/>
    <mergeCell ref="Q166:R166"/>
    <mergeCell ref="T166:U166"/>
    <mergeCell ref="W166:X166"/>
    <mergeCell ref="B169:C170"/>
    <mergeCell ref="Q169:R169"/>
    <mergeCell ref="T169:U169"/>
    <mergeCell ref="W169:X169"/>
    <mergeCell ref="B171:C173"/>
    <mergeCell ref="Q171:R171"/>
    <mergeCell ref="T171:U171"/>
    <mergeCell ref="W171:X171"/>
    <mergeCell ref="B174:C175"/>
    <mergeCell ref="Q174:R174"/>
    <mergeCell ref="T174:U174"/>
    <mergeCell ref="W174:X174"/>
    <mergeCell ref="B176:C178"/>
    <mergeCell ref="Q176:R176"/>
    <mergeCell ref="T176:U176"/>
    <mergeCell ref="W176:X176"/>
    <mergeCell ref="B179:C180"/>
    <mergeCell ref="Q179:R179"/>
    <mergeCell ref="T179:U179"/>
    <mergeCell ref="W179:X179"/>
    <mergeCell ref="B181:C183"/>
    <mergeCell ref="B184:C185"/>
    <mergeCell ref="Q184:R184"/>
    <mergeCell ref="T184:U184"/>
    <mergeCell ref="W184:X184"/>
    <mergeCell ref="B186:C187"/>
    <mergeCell ref="B188:C189"/>
    <mergeCell ref="Q188:R188"/>
    <mergeCell ref="T188:U188"/>
    <mergeCell ref="W188:X188"/>
    <mergeCell ref="B190:C191"/>
    <mergeCell ref="Q190:R190"/>
    <mergeCell ref="T190:U190"/>
    <mergeCell ref="W190:X190"/>
    <mergeCell ref="B192:C193"/>
    <mergeCell ref="Q192:R192"/>
    <mergeCell ref="T192:U192"/>
    <mergeCell ref="W192:X192"/>
    <mergeCell ref="B194:C195"/>
    <mergeCell ref="Q194:R194"/>
    <mergeCell ref="T194:U194"/>
    <mergeCell ref="W194:X194"/>
    <mergeCell ref="B196:C198"/>
    <mergeCell ref="Q196:R196"/>
    <mergeCell ref="T196:U196"/>
    <mergeCell ref="W196:X196"/>
    <mergeCell ref="B199:C201"/>
    <mergeCell ref="Q199:R199"/>
    <mergeCell ref="T199:U199"/>
    <mergeCell ref="W199:X199"/>
    <mergeCell ref="B202:C204"/>
    <mergeCell ref="Q202:R202"/>
    <mergeCell ref="T202:U202"/>
    <mergeCell ref="W202:X202"/>
    <mergeCell ref="B205:C206"/>
    <mergeCell ref="Q205:R205"/>
    <mergeCell ref="T205:U205"/>
    <mergeCell ref="W205:X205"/>
    <mergeCell ref="B207:C209"/>
    <mergeCell ref="Q207:R207"/>
    <mergeCell ref="T207:U207"/>
    <mergeCell ref="W207:X207"/>
    <mergeCell ref="B210:C212"/>
    <mergeCell ref="Q210:R210"/>
    <mergeCell ref="T210:U210"/>
    <mergeCell ref="W210:X210"/>
    <mergeCell ref="B213:C215"/>
    <mergeCell ref="Q213:R213"/>
    <mergeCell ref="T213:U213"/>
    <mergeCell ref="W213:X213"/>
    <mergeCell ref="B216:C218"/>
    <mergeCell ref="Q216:R216"/>
    <mergeCell ref="T216:U216"/>
    <mergeCell ref="W216:X216"/>
    <mergeCell ref="B219:C221"/>
    <mergeCell ref="Q219:R219"/>
    <mergeCell ref="T219:U219"/>
    <mergeCell ref="W219:X219"/>
    <mergeCell ref="B222:C224"/>
    <mergeCell ref="Q222:R222"/>
    <mergeCell ref="T222:U222"/>
    <mergeCell ref="W222:X222"/>
    <mergeCell ref="B225:C227"/>
    <mergeCell ref="Q225:R225"/>
    <mergeCell ref="T225:U225"/>
    <mergeCell ref="W225:X225"/>
    <mergeCell ref="B228:C230"/>
    <mergeCell ref="Q228:R228"/>
    <mergeCell ref="T228:U228"/>
    <mergeCell ref="W228:X228"/>
    <mergeCell ref="B231:C233"/>
    <mergeCell ref="Q231:R231"/>
    <mergeCell ref="T231:U231"/>
    <mergeCell ref="W231:X231"/>
    <mergeCell ref="B234:C236"/>
    <mergeCell ref="Q234:R234"/>
    <mergeCell ref="T234:U234"/>
    <mergeCell ref="W234:X234"/>
    <mergeCell ref="B237:C238"/>
    <mergeCell ref="Q237:R237"/>
    <mergeCell ref="T237:U237"/>
    <mergeCell ref="W237:X237"/>
    <mergeCell ref="B239:C241"/>
    <mergeCell ref="Q239:R239"/>
    <mergeCell ref="T239:U239"/>
    <mergeCell ref="W239:X239"/>
    <mergeCell ref="B251:C253"/>
    <mergeCell ref="Q251:R251"/>
    <mergeCell ref="T251:U251"/>
    <mergeCell ref="W251:X251"/>
    <mergeCell ref="B254:C256"/>
    <mergeCell ref="Q254:R254"/>
    <mergeCell ref="T254:U254"/>
    <mergeCell ref="W254:X254"/>
    <mergeCell ref="B242:C244"/>
    <mergeCell ref="B245:C247"/>
    <mergeCell ref="Q245:R245"/>
    <mergeCell ref="T245:U245"/>
    <mergeCell ref="W245:X245"/>
    <mergeCell ref="B248:C250"/>
    <mergeCell ref="Q248:R248"/>
    <mergeCell ref="T248:U248"/>
    <mergeCell ref="W248:X248"/>
    <mergeCell ref="B257:C258"/>
    <mergeCell ref="B259:C261"/>
    <mergeCell ref="Q259:R259"/>
    <mergeCell ref="T259:U259"/>
    <mergeCell ref="W259:X259"/>
    <mergeCell ref="B262:C264"/>
    <mergeCell ref="Q262:R262"/>
    <mergeCell ref="T262:U262"/>
    <mergeCell ref="W262:X262"/>
    <mergeCell ref="M271:O271"/>
    <mergeCell ref="Q271:R271"/>
    <mergeCell ref="T271:U271"/>
    <mergeCell ref="W271:X271"/>
    <mergeCell ref="B265:C267"/>
    <mergeCell ref="Q265:R265"/>
    <mergeCell ref="T265:U265"/>
    <mergeCell ref="W265:X265"/>
    <mergeCell ref="B268:C270"/>
    <mergeCell ref="Q268:R268"/>
    <mergeCell ref="T268:U268"/>
    <mergeCell ref="W268:X268"/>
  </mergeCells>
  <phoneticPr fontId="10" type="noConversion"/>
  <pageMargins left="0.39374999999999999" right="0.39374999999999999" top="0.39374999999999999" bottom="0.78749999999999998" header="0" footer="0"/>
  <pageSetup paperSize="9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zoomScale="115" zoomScaleNormal="115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18.7109375" bestFit="1" customWidth="1"/>
    <col min="9" max="9" width="17.42578125" bestFit="1" customWidth="1"/>
  </cols>
  <sheetData>
    <row r="1" spans="1:8">
      <c r="A1" s="597" t="s">
        <v>321</v>
      </c>
      <c r="B1" s="597"/>
    </row>
    <row r="2" spans="1:8">
      <c r="A2" s="598" t="s">
        <v>322</v>
      </c>
      <c r="B2" s="597"/>
    </row>
    <row r="3" spans="1:8">
      <c r="A3" s="597" t="s">
        <v>323</v>
      </c>
      <c r="B3" s="597"/>
    </row>
    <row r="4" spans="1:8" ht="28.5">
      <c r="A4" s="597" t="s">
        <v>324</v>
      </c>
      <c r="B4" s="597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598" t="s">
        <v>329</v>
      </c>
      <c r="B5" s="597"/>
      <c r="C5" s="152">
        <v>0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9572000</v>
      </c>
    </row>
    <row r="6" spans="1:8" ht="15" thickBot="1">
      <c r="A6" s="595" t="s">
        <v>330</v>
      </c>
      <c r="B6" s="596"/>
      <c r="C6" s="150" t="s">
        <v>331</v>
      </c>
      <c r="D6" s="165">
        <f>VLOOKUP("銀行存款-縣庫存款",平衡!$E$13:$H$90,4,0)+VLOOKUP("零用及週轉金",平衡!$D$13:$H$90,5,0)</f>
        <v>8260805</v>
      </c>
      <c r="E6" s="165">
        <f>VLOOKUP("淨資產",平衡!$K$13:$T$113,10,0)+C5-VLOOKUP("固定資產",平衡!$B$13:$H$90,7,0)-VLOOKUP("無形資產",平衡!$B$13:$H$84,7,0)</f>
        <v>8260805</v>
      </c>
      <c r="F6" s="136" t="s">
        <v>332</v>
      </c>
    </row>
    <row r="7" spans="1:8" ht="15" thickBot="1">
      <c r="A7" s="595" t="s">
        <v>333</v>
      </c>
      <c r="B7" s="596"/>
      <c r="C7" s="150" t="s">
        <v>334</v>
      </c>
      <c r="D7" s="165">
        <f>VLOOKUP("銀行存款-專戶存款",平衡!$E$13:$H$90,4,0)+VLOOKUP("其他預付款",平衡!$D$13:$H$90,5,0)</f>
        <v>17396326</v>
      </c>
      <c r="E7" s="165">
        <f>VLOOKUP("應付代收款",平衡!$N$13:$T$90,7,0)+VLOOKUP("存入保證金",平衡!$N$13:$T$90,7,0)</f>
        <v>17396326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VLOOKUP("合計：",平衡!$A$13:$H$90,8,0)</f>
        <v>358971093</v>
      </c>
      <c r="E8" s="166">
        <f>VLOOKUP("合計：",平衡!$K$13:$T$90,10,0)</f>
        <v>358971093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VLOOKUP("基金用途",餘絀表!$C$16:$T$47,18,0)</f>
        <v>56084211</v>
      </c>
      <c r="E9" s="166">
        <f>VLOOKUP("合       計",各項費用!$D$12:$Q$86,14)</f>
        <v>56084211</v>
      </c>
      <c r="F9" s="166" t="e">
        <f>縣庫對帳!P3</f>
        <v>#N/A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VLOOKUP("基金來源",餘絀表!$C$16:$T$47,18,0)</f>
        <v>55728716</v>
      </c>
      <c r="E10" s="166">
        <f>縣庫對帳!N3</f>
        <v>55728716</v>
      </c>
      <c r="F10" s="166"/>
      <c r="G10" s="166"/>
      <c r="H10" s="153">
        <f>D13-E13</f>
        <v>0</v>
      </c>
    </row>
    <row r="11" spans="1:8" ht="27" customHeight="1">
      <c r="A11" s="590" t="s">
        <v>27</v>
      </c>
      <c r="B11" s="590" t="s">
        <v>129</v>
      </c>
      <c r="C11" s="150" t="s">
        <v>339</v>
      </c>
      <c r="D11" s="166">
        <f>VLOOKUP("政府撥入收入",餘絀表!$C$16:$T$47,18,0)</f>
        <v>55583255</v>
      </c>
      <c r="E11" s="166"/>
      <c r="F11" s="166">
        <f>VLOOKUP("政府撥入收入",收支!$B$14:$N$64,13,0)</f>
        <v>55583255</v>
      </c>
      <c r="G11" s="166">
        <f>VLOOKUP("政府撥入收入",對照表!$B$1:$E$29,4,0)</f>
        <v>55583255</v>
      </c>
    </row>
    <row r="12" spans="1:8" ht="28.5">
      <c r="A12" s="593"/>
      <c r="B12" s="593"/>
      <c r="C12" s="150" t="s">
        <v>340</v>
      </c>
      <c r="D12" s="166"/>
      <c r="E12" s="166"/>
      <c r="F12" s="166">
        <f>VLOOKUP("收入",收支!$A$14:$N$64,14,0)</f>
        <v>56376436</v>
      </c>
      <c r="G12" s="166">
        <f>VLOOKUP("基金來源",對照表!$A$1:$E$29,5,0)</f>
        <v>56376436</v>
      </c>
    </row>
    <row r="13" spans="1:8">
      <c r="A13" s="593"/>
      <c r="B13" s="593"/>
      <c r="C13" s="150" t="s">
        <v>341</v>
      </c>
      <c r="D13" s="166">
        <f>IF(封面!J10=12,0,VLOOKUP($G$13,平衡!$N$13:$T$90,7,0))</f>
        <v>-3684593</v>
      </c>
      <c r="E13" s="166">
        <f>VLOOKUP("本期賸餘（短絀）",收支!$A$14:$N$53,14,0)</f>
        <v>-3684593</v>
      </c>
      <c r="F13" s="166">
        <f>VLOOKUP("本期賸餘(短絀)",對照表!$A$1:$E$29,5,0)</f>
        <v>-3684593</v>
      </c>
      <c r="G13" s="164" t="str">
        <f>IF(E13&gt;=0,"本期賸餘","本期短絀")</f>
        <v>本期短絀</v>
      </c>
    </row>
    <row r="14" spans="1:8">
      <c r="A14" s="593"/>
      <c r="B14" s="593"/>
      <c r="C14" s="150" t="s">
        <v>342</v>
      </c>
      <c r="D14" s="166">
        <f>IF(封面!J10=12,0,VLOOKUP("本期賸餘(短絀－)",餘絀表!$C$16:$T$50,18,0))</f>
        <v>-355495</v>
      </c>
      <c r="E14" s="166"/>
      <c r="F14" s="166">
        <f>IF(封面!J10=12,0,VLOOKUP("本期賸餘(短絀)",對照表!$A$1:$C$29,3,0))</f>
        <v>-355495</v>
      </c>
      <c r="G14" s="164"/>
    </row>
    <row r="15" spans="1:8">
      <c r="A15" s="593"/>
      <c r="B15" s="593"/>
      <c r="C15" s="150" t="s">
        <v>343</v>
      </c>
      <c r="D15" s="166">
        <f>IF(封面!J12=12,0,VLOOKUP($G$15,平衡!$K$13:$T$90,10,0))</f>
        <v>339425770</v>
      </c>
      <c r="E15" s="166">
        <f>IF(封面!J12=12,0,VLOOKUP("期末淨資產",收支!$A$14:$N$53,14,0))</f>
        <v>339425770</v>
      </c>
      <c r="F15" s="166">
        <f>IF(封面!K12=12,0,VLOOKUP("期末基金餘額",對照表!$A$1:$E$42,5,0))</f>
        <v>339425770</v>
      </c>
      <c r="G15" s="164" t="s">
        <v>343</v>
      </c>
    </row>
    <row r="16" spans="1:8" ht="15" thickBot="1">
      <c r="A16" s="594"/>
      <c r="B16" s="594"/>
      <c r="C16" s="150" t="s">
        <v>344</v>
      </c>
      <c r="D16" s="166">
        <f>VLOOKUP("國民教育計畫",主要業務!$B$15:$J$23,7,0)</f>
        <v>9483516</v>
      </c>
      <c r="E16" s="166">
        <f>VLOOKUP("國民教育計畫",餘絀表!$C$16:$T$47,8,0)</f>
        <v>9483516</v>
      </c>
    </row>
    <row r="17" spans="1:9">
      <c r="A17" s="590" t="s">
        <v>141</v>
      </c>
      <c r="B17" s="590" t="s">
        <v>130</v>
      </c>
      <c r="C17" s="150" t="s">
        <v>345</v>
      </c>
      <c r="D17" s="166">
        <f>主要業務!H17</f>
        <v>56084211</v>
      </c>
      <c r="E17" s="166">
        <f>VLOOKUP("國民教育計畫",餘絀表!$C$16:$T$47,18,0)</f>
        <v>56084211</v>
      </c>
    </row>
    <row r="18" spans="1:9">
      <c r="A18" s="591"/>
      <c r="B18" s="593"/>
      <c r="C18" s="150" t="s">
        <v>346</v>
      </c>
      <c r="D18" s="166">
        <f>主要業務!H20</f>
        <v>0</v>
      </c>
      <c r="E18" s="166">
        <f>VLOOKUP("建築及設備計畫",餘絀表!$C$16:$T$47,8,0)</f>
        <v>0</v>
      </c>
    </row>
    <row r="19" spans="1:9">
      <c r="A19" s="591"/>
      <c r="B19" s="593"/>
      <c r="C19" s="150" t="s">
        <v>347</v>
      </c>
      <c r="D19" s="166">
        <f>主要業務!H22</f>
        <v>0</v>
      </c>
      <c r="E19" s="166">
        <f>VLOOKUP("建築及設備計畫",餘絀表!$C$16:$T$47,18,0)</f>
        <v>0</v>
      </c>
    </row>
    <row r="20" spans="1:9">
      <c r="A20" s="591"/>
      <c r="B20" s="593"/>
      <c r="C20" s="150" t="s">
        <v>348</v>
      </c>
      <c r="D20" s="166">
        <f>VLOOKUP("用人費用",各項費用!$F$12:$Q$100,12,0)</f>
        <v>54898259</v>
      </c>
      <c r="E20" s="166">
        <f>VLOOKUP("人事支出",收支!$B$14:$N$64,13,0)</f>
        <v>54898259</v>
      </c>
      <c r="F20" s="166">
        <f>VLOOKUP("用人費用",對照表!$B$1:$E$29,4,0)</f>
        <v>54898259</v>
      </c>
      <c r="G20" s="363" t="s">
        <v>453</v>
      </c>
      <c r="H20" s="536">
        <f>6303*4</f>
        <v>25212</v>
      </c>
    </row>
    <row r="21" spans="1:9">
      <c r="A21" s="591"/>
      <c r="B21" s="593"/>
      <c r="C21" s="150" t="s">
        <v>349</v>
      </c>
      <c r="D21" s="166">
        <f>IF(E21=0,0,資產!F10+H20+H21-H22)</f>
        <v>3974073</v>
      </c>
      <c r="E21" s="166">
        <f>VLOOKUP("折舊、折耗及攤銷",收支!$B$14:$N$64,13,0)</f>
        <v>3974073</v>
      </c>
      <c r="F21" s="166">
        <f>VLOOKUP("折舊、折耗及攤銷",對照表!$H$1:$J$29,3,0)</f>
        <v>3974073</v>
      </c>
      <c r="G21" s="363" t="s">
        <v>350</v>
      </c>
      <c r="H21" s="536">
        <f>47520+(22671+20790+22275+79199+64743)+14424</f>
        <v>271622</v>
      </c>
      <c r="I21" s="517"/>
    </row>
    <row r="22" spans="1:9" ht="15.75">
      <c r="A22" s="591"/>
      <c r="B22" s="593"/>
      <c r="D22" s="153"/>
      <c r="E22" s="153"/>
      <c r="F22" s="153"/>
      <c r="G22" s="396" t="s">
        <v>420</v>
      </c>
      <c r="H22" s="549">
        <v>17028</v>
      </c>
    </row>
    <row r="23" spans="1:9">
      <c r="A23" s="591"/>
      <c r="B23" s="625"/>
      <c r="C23" s="384"/>
      <c r="D23" s="398" t="str">
        <f>封面!H10&amp;封面!I10&amp;封面!J10&amp;封面!K10&amp;"會計報告各帳戶存款餘額"</f>
        <v>114年4月會計報告各帳戶存款餘額</v>
      </c>
      <c r="E23" s="401"/>
      <c r="F23" s="399"/>
      <c r="G23"/>
    </row>
    <row r="24" spans="1:9">
      <c r="A24" s="591"/>
      <c r="B24" s="625"/>
      <c r="C24" s="384"/>
      <c r="D24" s="385" t="s">
        <v>351</v>
      </c>
      <c r="E24" s="386" t="s">
        <v>352</v>
      </c>
      <c r="F24" s="387" t="s">
        <v>353</v>
      </c>
    </row>
    <row r="25" spans="1:9">
      <c r="A25" s="591"/>
      <c r="B25" s="625"/>
      <c r="C25" s="384" t="s">
        <v>443</v>
      </c>
      <c r="D25" s="584">
        <f>代收款!Y29</f>
        <v>1074470</v>
      </c>
      <c r="E25" s="384"/>
      <c r="F25" s="388">
        <f t="shared" ref="F25:F28" si="0">SUM(D25:E25)</f>
        <v>1074470</v>
      </c>
      <c r="H25" s="543" t="s">
        <v>479</v>
      </c>
      <c r="I25" s="544" t="s">
        <v>480</v>
      </c>
    </row>
    <row r="26" spans="1:9" ht="15" thickBot="1">
      <c r="A26" s="592"/>
      <c r="B26" s="626"/>
      <c r="C26" s="384" t="s">
        <v>446</v>
      </c>
      <c r="D26" s="389">
        <f>代收款!Y31</f>
        <v>1074527</v>
      </c>
      <c r="E26" s="389"/>
      <c r="F26" s="388">
        <f t="shared" si="0"/>
        <v>1074527</v>
      </c>
      <c r="G26" s="545">
        <f>專戶差額!G43+專戶差額!H43</f>
        <v>2148997</v>
      </c>
      <c r="H26" s="546">
        <f>IF($G$26=0,0,VLOOKUP(H25,平衡!$D$13:$H$84,5,0))</f>
        <v>2148997</v>
      </c>
      <c r="I26" s="546">
        <f>IF($G$26=0,0,VLOOKUP(I25,平衡!$N$13:$T$84,7,0))</f>
        <v>2148997</v>
      </c>
    </row>
    <row r="27" spans="1:9" ht="17.25" thickBot="1">
      <c r="A27" s="61" t="s">
        <v>131</v>
      </c>
      <c r="B27" s="383" t="s">
        <v>142</v>
      </c>
      <c r="C27" s="384" t="s">
        <v>444</v>
      </c>
      <c r="D27" s="520">
        <f>F27-E27</f>
        <v>13248266</v>
      </c>
      <c r="E27" s="410"/>
      <c r="F27" s="521">
        <f>F32-SUM(F25:F26,F28:F31)</f>
        <v>13248266</v>
      </c>
      <c r="G27" s="547" t="s">
        <v>481</v>
      </c>
      <c r="H27" s="548">
        <f>H26-$G$26</f>
        <v>0</v>
      </c>
      <c r="I27" s="548">
        <f>I26-$G$26</f>
        <v>0</v>
      </c>
    </row>
    <row r="28" spans="1:9" ht="16.899999999999999" customHeight="1" thickBot="1">
      <c r="A28" s="61" t="s">
        <v>66</v>
      </c>
      <c r="B28" s="383" t="s">
        <v>132</v>
      </c>
      <c r="C28" s="384" t="s">
        <v>185</v>
      </c>
      <c r="D28" s="410">
        <f>代收款!Y23</f>
        <v>0</v>
      </c>
      <c r="E28" s="410"/>
      <c r="F28" s="388">
        <f t="shared" si="0"/>
        <v>0</v>
      </c>
      <c r="H28" s="133"/>
    </row>
    <row r="29" spans="1:9" ht="17.25" thickBot="1">
      <c r="A29" s="61" t="s">
        <v>133</v>
      </c>
      <c r="B29" s="383" t="s">
        <v>134</v>
      </c>
      <c r="C29" s="384" t="s">
        <v>456</v>
      </c>
      <c r="D29" s="410">
        <f>代收款!Y27</f>
        <v>500</v>
      </c>
      <c r="E29" s="410"/>
      <c r="F29" s="388">
        <f t="shared" ref="F29:F30" si="1">SUM(D29:E29)</f>
        <v>500</v>
      </c>
    </row>
    <row r="30" spans="1:9">
      <c r="A30" s="590" t="s">
        <v>135</v>
      </c>
      <c r="B30" s="624" t="s">
        <v>136</v>
      </c>
      <c r="C30" s="384" t="s">
        <v>445</v>
      </c>
      <c r="D30" s="410">
        <f>代收款!Y169</f>
        <v>650168</v>
      </c>
      <c r="E30" s="410"/>
      <c r="F30" s="388">
        <f t="shared" si="1"/>
        <v>650168</v>
      </c>
    </row>
    <row r="31" spans="1:9">
      <c r="A31" s="593"/>
      <c r="B31" s="625"/>
      <c r="C31" s="384"/>
      <c r="D31" s="389"/>
      <c r="E31" s="389"/>
      <c r="F31" s="388">
        <f>SUM(D31:E31)</f>
        <v>0</v>
      </c>
    </row>
    <row r="32" spans="1:9" ht="15" thickBot="1">
      <c r="A32" s="592"/>
      <c r="B32" s="592"/>
      <c r="C32" s="390" t="s">
        <v>354</v>
      </c>
      <c r="D32" s="391">
        <f>SUM(D25:D31)</f>
        <v>16047931</v>
      </c>
      <c r="E32" s="391">
        <f>SUM(E25:E31)</f>
        <v>0</v>
      </c>
      <c r="F32" s="519">
        <f>VLOOKUP("銀行存款-專戶存款",平衡!$E$13:$H$89,4,0)</f>
        <v>16047931</v>
      </c>
    </row>
    <row r="33" spans="1:9" ht="15" thickBot="1">
      <c r="A33" s="167"/>
      <c r="B33" s="167"/>
      <c r="C33" s="390" t="s">
        <v>418</v>
      </c>
      <c r="D33" s="622">
        <f>SUM(D32:E32)</f>
        <v>16047931</v>
      </c>
      <c r="E33" s="623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53"/>
      <c r="G34" s="153"/>
      <c r="H34" s="153"/>
      <c r="I34" s="132"/>
    </row>
    <row r="35" spans="1:9" ht="15" thickBot="1">
      <c r="A35" s="167"/>
      <c r="B35" s="167"/>
      <c r="D35" s="150"/>
      <c r="E35" s="150"/>
      <c r="F35" s="153"/>
      <c r="G35" s="153"/>
      <c r="H35" s="153"/>
    </row>
    <row r="36" spans="1:9" ht="20.25" thickBot="1">
      <c r="A36" s="60"/>
      <c r="B36" s="60"/>
      <c r="D36" s="150"/>
      <c r="E36" s="150"/>
      <c r="F36" s="153"/>
      <c r="G36" s="153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4" priority="39" stopIfTrue="1">
      <formula>$D$16&lt;&gt;$E$16</formula>
    </cfRule>
  </conditionalFormatting>
  <conditionalFormatting sqref="D17:E17">
    <cfRule type="expression" dxfId="53" priority="38" stopIfTrue="1">
      <formula>$D17&lt;&gt;$E17</formula>
    </cfRule>
  </conditionalFormatting>
  <conditionalFormatting sqref="D18:E18 E19">
    <cfRule type="expression" dxfId="52" priority="37" stopIfTrue="1">
      <formula>$D$18&lt;&gt;$E$18</formula>
    </cfRule>
  </conditionalFormatting>
  <conditionalFormatting sqref="G33">
    <cfRule type="expression" dxfId="51" priority="35" stopIfTrue="1">
      <formula>$H$35&lt;&gt;0</formula>
    </cfRule>
  </conditionalFormatting>
  <conditionalFormatting sqref="G34">
    <cfRule type="expression" dxfId="50" priority="34" stopIfTrue="1">
      <formula>$F$34&lt;&gt;$G$34</formula>
    </cfRule>
  </conditionalFormatting>
  <conditionalFormatting sqref="G35">
    <cfRule type="expression" dxfId="49" priority="33" stopIfTrue="1">
      <formula>$H$35&lt;&gt;0</formula>
    </cfRule>
  </conditionalFormatting>
  <conditionalFormatting sqref="D14 F14:F15">
    <cfRule type="expression" dxfId="48" priority="31">
      <formula>$D$14&lt;&gt;$F$14</formula>
    </cfRule>
  </conditionalFormatting>
  <conditionalFormatting sqref="F15">
    <cfRule type="expression" dxfId="47" priority="28">
      <formula>$E$15&lt;&gt;$F$15</formula>
    </cfRule>
    <cfRule type="expression" dxfId="46" priority="29">
      <formula>$D$15&lt;&gt;$F$15</formula>
    </cfRule>
    <cfRule type="expression" dxfId="45" priority="30">
      <formula>$D$14&lt;&gt;$F$14</formula>
    </cfRule>
  </conditionalFormatting>
  <conditionalFormatting sqref="D15">
    <cfRule type="expression" dxfId="44" priority="26">
      <formula>$D$15&lt;&gt;$F$15</formula>
    </cfRule>
    <cfRule type="expression" dxfId="43" priority="27">
      <formula>$D$15&lt;&gt;$E$15</formula>
    </cfRule>
  </conditionalFormatting>
  <conditionalFormatting sqref="E15">
    <cfRule type="expression" dxfId="42" priority="24">
      <formula>$E$15&lt;&gt;$F$15</formula>
    </cfRule>
    <cfRule type="expression" dxfId="41" priority="25">
      <formula>$D$15&lt;&gt;$E$15</formula>
    </cfRule>
  </conditionalFormatting>
  <conditionalFormatting sqref="D6:E6">
    <cfRule type="expression" dxfId="40" priority="23">
      <formula>$D$6&lt;&gt;$E$6</formula>
    </cfRule>
  </conditionalFormatting>
  <conditionalFormatting sqref="D8:E8">
    <cfRule type="expression" dxfId="39" priority="22">
      <formula>$D$8&lt;&gt;$E$8</formula>
    </cfRule>
  </conditionalFormatting>
  <conditionalFormatting sqref="E16:E19">
    <cfRule type="expression" dxfId="38" priority="21" stopIfTrue="1">
      <formula>#REF!&lt;&gt;#REF!</formula>
    </cfRule>
  </conditionalFormatting>
  <conditionalFormatting sqref="D20:F20">
    <cfRule type="expression" dxfId="37" priority="19">
      <formula>$D$20&lt;&gt;$E$20</formula>
    </cfRule>
  </conditionalFormatting>
  <conditionalFormatting sqref="D20:F20">
    <cfRule type="expression" dxfId="36" priority="18">
      <formula>$E$20&lt;&gt;$F$20</formula>
    </cfRule>
  </conditionalFormatting>
  <conditionalFormatting sqref="D21:F22 D23:D24 F23">
    <cfRule type="expression" dxfId="35" priority="17">
      <formula>$D$21&lt;&gt;$E$21</formula>
    </cfRule>
  </conditionalFormatting>
  <conditionalFormatting sqref="D21:F22 D23:D24 F23">
    <cfRule type="expression" dxfId="34" priority="16">
      <formula>$D$21&lt;&gt;$F$21</formula>
    </cfRule>
  </conditionalFormatting>
  <conditionalFormatting sqref="D9:F9">
    <cfRule type="expression" dxfId="33" priority="14">
      <formula>$D$9&lt;&gt;$F$9</formula>
    </cfRule>
    <cfRule type="expression" dxfId="32" priority="15">
      <formula>$D$9&lt;&gt;$E$9</formula>
    </cfRule>
  </conditionalFormatting>
  <conditionalFormatting sqref="D10:G10">
    <cfRule type="expression" dxfId="31" priority="13">
      <formula>$D$10&lt;&gt;$E$10</formula>
    </cfRule>
  </conditionalFormatting>
  <conditionalFormatting sqref="F12:G12">
    <cfRule type="expression" dxfId="30" priority="12">
      <formula>$F$12&lt;&gt;$G$12</formula>
    </cfRule>
  </conditionalFormatting>
  <conditionalFormatting sqref="F36:G36">
    <cfRule type="expression" dxfId="29" priority="11" stopIfTrue="1">
      <formula>$F$36&lt;&gt;$G$36</formula>
    </cfRule>
  </conditionalFormatting>
  <conditionalFormatting sqref="E13:F13">
    <cfRule type="expression" dxfId="28" priority="8">
      <formula>$E$13&lt;&gt;$F$13</formula>
    </cfRule>
  </conditionalFormatting>
  <conditionalFormatting sqref="E23">
    <cfRule type="expression" dxfId="27" priority="7">
      <formula>$D$21&lt;&gt;$E$21</formula>
    </cfRule>
  </conditionalFormatting>
  <conditionalFormatting sqref="E23">
    <cfRule type="expression" dxfId="26" priority="6">
      <formula>$D$21&lt;&gt;$F$21</formula>
    </cfRule>
  </conditionalFormatting>
  <conditionalFormatting sqref="F25:F28">
    <cfRule type="expression" dxfId="25" priority="103" stopIfTrue="1">
      <formula>#REF!&lt;&gt;#REF!</formula>
    </cfRule>
  </conditionalFormatting>
  <conditionalFormatting sqref="F31">
    <cfRule type="expression" dxfId="24" priority="104" stopIfTrue="1">
      <formula>$F32&lt;&gt;#REF!</formula>
    </cfRule>
  </conditionalFormatting>
  <conditionalFormatting sqref="F25:F32">
    <cfRule type="expression" dxfId="23" priority="105" stopIfTrue="1">
      <formula>$F25&lt;&gt;#REF!</formula>
    </cfRule>
  </conditionalFormatting>
  <conditionalFormatting sqref="H27">
    <cfRule type="cellIs" dxfId="22" priority="2" operator="notEqual">
      <formula>0</formula>
    </cfRule>
  </conditionalFormatting>
  <conditionalFormatting sqref="I27">
    <cfRule type="cellIs" dxfId="21" priority="1" operator="notEqual">
      <formula>0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3"/>
    <col min="7" max="7" width="10.42578125" style="413" bestFit="1" customWidth="1"/>
    <col min="8" max="8" width="14" style="413" customWidth="1"/>
    <col min="9" max="9" width="9.28515625" style="413" bestFit="1" customWidth="1"/>
    <col min="10" max="10" width="9.140625" style="413"/>
    <col min="11" max="12" width="6.85546875" style="413" bestFit="1" customWidth="1"/>
    <col min="13" max="13" width="11.85546875" style="413" customWidth="1"/>
    <col min="14" max="14" width="9.140625" style="413"/>
    <col min="15" max="15" width="11.7109375" style="413" bestFit="1" customWidth="1"/>
    <col min="16" max="16384" width="9.140625" style="413"/>
  </cols>
  <sheetData>
    <row r="1" spans="1:15" ht="36.75">
      <c r="A1" s="412" t="s">
        <v>463</v>
      </c>
    </row>
    <row r="4" spans="1:15" ht="36.75">
      <c r="A4" s="627" t="s">
        <v>447</v>
      </c>
      <c r="B4" s="628"/>
      <c r="C4" s="628"/>
      <c r="D4" s="628"/>
      <c r="E4" s="628"/>
      <c r="F4" s="628"/>
      <c r="G4" s="628"/>
      <c r="H4" s="628"/>
      <c r="I4" s="628"/>
      <c r="J4" s="628"/>
      <c r="K4" s="628"/>
      <c r="L4" s="628"/>
      <c r="M4" s="628"/>
      <c r="N4" s="628"/>
    </row>
    <row r="5" spans="1:15" ht="59.25" customHeight="1"/>
    <row r="6" spans="1:15" ht="59.25" customHeight="1"/>
    <row r="7" spans="1:15" ht="36.75">
      <c r="C7" s="629" t="s">
        <v>116</v>
      </c>
      <c r="D7" s="629"/>
      <c r="E7" s="629"/>
      <c r="F7" s="629"/>
      <c r="G7" s="629"/>
      <c r="H7" s="629"/>
      <c r="I7" s="629"/>
      <c r="J7" s="629"/>
      <c r="K7" s="629"/>
      <c r="L7" s="629"/>
    </row>
    <row r="8" spans="1:15" ht="51.75" customHeight="1"/>
    <row r="9" spans="1:15" ht="51.75" customHeight="1">
      <c r="O9" s="527">
        <f>IF(MOD(H10+1911,4)=0,1,0)</f>
        <v>0</v>
      </c>
    </row>
    <row r="10" spans="1:15" s="414" customFormat="1" ht="32.25">
      <c r="C10" s="415"/>
      <c r="D10" s="415"/>
      <c r="E10" s="631" t="s">
        <v>117</v>
      </c>
      <c r="F10" s="631"/>
      <c r="G10" s="631"/>
      <c r="H10" s="414">
        <v>114</v>
      </c>
      <c r="I10" s="414" t="s">
        <v>118</v>
      </c>
      <c r="J10" s="414">
        <v>4</v>
      </c>
      <c r="K10" s="416" t="s">
        <v>119</v>
      </c>
      <c r="L10" s="417" t="s">
        <v>122</v>
      </c>
      <c r="O10" s="528">
        <f>IF(J10=0,0,IF(J10=2,28+O9,IF(OR(J10=1,J10=3,J10=5,J10=7,J10=8,J10=10,J10=12),31,30)))</f>
        <v>30</v>
      </c>
    </row>
    <row r="15" spans="1:15" s="418" customFormat="1" ht="34.5" customHeight="1">
      <c r="B15" s="630" t="s">
        <v>120</v>
      </c>
      <c r="C15" s="630"/>
      <c r="D15" s="630"/>
      <c r="E15" s="630"/>
      <c r="F15" s="630"/>
      <c r="I15" s="418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0"/>
  <sheetViews>
    <sheetView showGridLines="0" showOutlineSymbols="0" view="pageBreakPreview" zoomScaleSheetLayoutView="100" workbookViewId="0">
      <selection activeCell="J11" sqref="J11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35"/>
      <c r="AF1" s="635"/>
      <c r="AG1" s="635"/>
      <c r="AH1" s="635"/>
      <c r="AI1" s="635"/>
    </row>
    <row r="2" spans="2:35" ht="9" customHeight="1">
      <c r="B2" s="374"/>
      <c r="C2" s="639" t="str">
        <f>封面!$A$4</f>
        <v>彰化縣地方教育發展基金－彰化縣彰化市民生國民小學</v>
      </c>
      <c r="D2" s="639"/>
      <c r="E2" s="639"/>
      <c r="F2" s="639"/>
      <c r="G2" s="639"/>
      <c r="H2" s="639"/>
      <c r="I2" s="639"/>
      <c r="J2" s="639"/>
      <c r="K2" s="639"/>
      <c r="L2" s="639"/>
      <c r="M2" s="639"/>
      <c r="N2" s="639"/>
      <c r="O2" s="639"/>
      <c r="P2" s="639"/>
      <c r="Q2" s="639"/>
      <c r="R2" s="639"/>
      <c r="S2" s="639"/>
      <c r="T2" s="639"/>
      <c r="U2" s="639"/>
      <c r="V2" s="639"/>
      <c r="W2" s="639"/>
      <c r="X2" s="639"/>
      <c r="Y2" s="639"/>
      <c r="Z2" s="639"/>
      <c r="AA2" s="639"/>
      <c r="AB2" s="639"/>
      <c r="AC2" s="639"/>
      <c r="AD2" s="639"/>
      <c r="AE2" s="635"/>
      <c r="AF2" s="635"/>
      <c r="AG2" s="635"/>
      <c r="AH2" s="635"/>
      <c r="AI2" s="635"/>
    </row>
    <row r="3" spans="2:35" ht="18" customHeight="1">
      <c r="B3" s="374"/>
      <c r="C3" s="639"/>
      <c r="D3" s="639"/>
      <c r="E3" s="639"/>
      <c r="F3" s="639"/>
      <c r="G3" s="639"/>
      <c r="H3" s="639"/>
      <c r="I3" s="639"/>
      <c r="J3" s="639"/>
      <c r="K3" s="639"/>
      <c r="L3" s="639"/>
      <c r="M3" s="639"/>
      <c r="N3" s="639"/>
      <c r="O3" s="639"/>
      <c r="P3" s="639"/>
      <c r="Q3" s="639"/>
      <c r="R3" s="639"/>
      <c r="S3" s="639"/>
      <c r="T3" s="639"/>
      <c r="U3" s="639"/>
      <c r="V3" s="639"/>
      <c r="W3" s="639"/>
      <c r="X3" s="639"/>
      <c r="Y3" s="639"/>
      <c r="Z3" s="639"/>
      <c r="AA3" s="639"/>
      <c r="AB3" s="639"/>
      <c r="AC3" s="639"/>
      <c r="AD3" s="639"/>
    </row>
    <row r="4" spans="2:35" ht="24" customHeight="1">
      <c r="B4" s="636" t="s">
        <v>9</v>
      </c>
      <c r="C4" s="636"/>
      <c r="D4" s="636"/>
      <c r="E4" s="636"/>
      <c r="F4" s="636"/>
      <c r="G4" s="636"/>
      <c r="H4" s="636"/>
      <c r="I4" s="636"/>
      <c r="J4" s="636"/>
      <c r="K4" s="636"/>
      <c r="L4" s="636"/>
      <c r="M4" s="636"/>
      <c r="N4" s="636"/>
      <c r="O4" s="636"/>
      <c r="P4" s="636"/>
      <c r="Q4" s="636"/>
      <c r="R4" s="636"/>
      <c r="S4" s="636"/>
      <c r="T4" s="636"/>
      <c r="U4" s="636"/>
      <c r="V4" s="636"/>
      <c r="W4" s="636"/>
      <c r="X4" s="636"/>
      <c r="Y4" s="636"/>
      <c r="Z4" s="636"/>
      <c r="AA4" s="636"/>
      <c r="AB4" s="636"/>
      <c r="AC4" s="636"/>
      <c r="AD4" s="636"/>
    </row>
    <row r="5" spans="2:35" ht="7.5" customHeight="1">
      <c r="C5" s="637" t="str">
        <f>封面!$E$10&amp;封面!$H$10&amp;封面!$I$10&amp;封面!$J$10&amp;封面!$K$10&amp;封面!L10</f>
        <v>中華民國114年4月份</v>
      </c>
      <c r="D5" s="637"/>
      <c r="E5" s="637"/>
      <c r="F5" s="637"/>
      <c r="G5" s="637"/>
      <c r="H5" s="637"/>
      <c r="I5" s="637"/>
      <c r="J5" s="637"/>
      <c r="K5" s="637"/>
      <c r="L5" s="637"/>
      <c r="M5" s="637"/>
      <c r="N5" s="637"/>
      <c r="O5" s="637"/>
      <c r="P5" s="637"/>
      <c r="Q5" s="637"/>
      <c r="R5" s="637"/>
      <c r="S5" s="637"/>
      <c r="T5" s="637"/>
      <c r="U5" s="637"/>
      <c r="V5" s="637"/>
      <c r="W5" s="637"/>
      <c r="X5" s="637"/>
      <c r="Y5" s="637"/>
      <c r="Z5" s="637"/>
      <c r="AA5" s="637"/>
      <c r="AB5" s="637"/>
      <c r="AC5" s="637"/>
      <c r="AD5" s="637"/>
    </row>
    <row r="6" spans="2:35" ht="13.9" customHeight="1">
      <c r="C6" s="637"/>
      <c r="D6" s="637"/>
      <c r="E6" s="637"/>
      <c r="F6" s="637"/>
      <c r="G6" s="637"/>
      <c r="H6" s="637"/>
      <c r="I6" s="637"/>
      <c r="J6" s="637"/>
      <c r="K6" s="637"/>
      <c r="L6" s="637"/>
      <c r="M6" s="637"/>
      <c r="N6" s="637"/>
      <c r="O6" s="637"/>
      <c r="P6" s="637"/>
      <c r="Q6" s="637"/>
      <c r="R6" s="637"/>
      <c r="S6" s="637"/>
      <c r="T6" s="637"/>
      <c r="U6" s="637"/>
      <c r="V6" s="637"/>
      <c r="W6" s="637"/>
      <c r="X6" s="637"/>
      <c r="Y6" s="637"/>
      <c r="Z6" s="637"/>
      <c r="AA6" s="637"/>
      <c r="AB6" s="637"/>
      <c r="AC6" s="637"/>
      <c r="AD6" s="637"/>
    </row>
    <row r="7" spans="2:35" ht="16.149999999999999" customHeight="1">
      <c r="Y7" s="638" t="s">
        <v>1</v>
      </c>
      <c r="Z7" s="638"/>
      <c r="AA7" s="638"/>
      <c r="AB7" s="638"/>
      <c r="AC7" s="638"/>
      <c r="AD7" s="638"/>
    </row>
    <row r="8" spans="2:35" ht="3.75" customHeight="1"/>
    <row r="9" spans="2:35" s="70" customFormat="1" ht="12.75" customHeight="1">
      <c r="C9" s="632" t="s">
        <v>355</v>
      </c>
      <c r="D9" s="632"/>
      <c r="E9" s="373"/>
      <c r="F9" s="373"/>
      <c r="G9" s="651" t="s">
        <v>422</v>
      </c>
      <c r="H9" s="373"/>
      <c r="I9" s="373"/>
      <c r="J9" s="640" t="s">
        <v>10</v>
      </c>
      <c r="K9" s="641"/>
      <c r="L9" s="641"/>
      <c r="M9" s="641"/>
      <c r="N9" s="641"/>
      <c r="O9" s="641"/>
      <c r="P9" s="641"/>
      <c r="Q9" s="642"/>
      <c r="R9" s="373"/>
      <c r="S9" s="373"/>
      <c r="T9" s="640" t="s">
        <v>11</v>
      </c>
      <c r="U9" s="641"/>
      <c r="V9" s="641"/>
      <c r="W9" s="641"/>
      <c r="X9" s="641"/>
      <c r="Y9" s="641"/>
      <c r="Z9" s="641"/>
      <c r="AA9" s="641"/>
      <c r="AB9" s="641"/>
      <c r="AC9" s="641"/>
      <c r="AD9" s="642"/>
      <c r="AG9" s="183"/>
    </row>
    <row r="10" spans="2:35" s="70" customFormat="1" ht="15.6" hidden="1" customHeight="1">
      <c r="C10" s="373"/>
      <c r="D10" s="400"/>
      <c r="E10" s="373"/>
      <c r="F10" s="373"/>
      <c r="G10" s="659"/>
      <c r="H10" s="372"/>
      <c r="I10" s="373"/>
      <c r="J10" s="646"/>
      <c r="K10" s="647"/>
      <c r="L10" s="647"/>
      <c r="M10" s="647"/>
      <c r="N10" s="647"/>
      <c r="O10" s="647"/>
      <c r="P10" s="647"/>
      <c r="Q10" s="648"/>
      <c r="R10" s="373"/>
      <c r="S10" s="373"/>
      <c r="T10" s="646"/>
      <c r="U10" s="647"/>
      <c r="V10" s="647"/>
      <c r="W10" s="647"/>
      <c r="X10" s="647"/>
      <c r="Y10" s="647"/>
      <c r="Z10" s="647"/>
      <c r="AA10" s="647"/>
      <c r="AB10" s="647"/>
      <c r="AC10" s="647"/>
      <c r="AD10" s="648"/>
      <c r="AG10" s="183"/>
    </row>
    <row r="11" spans="2:35" s="70" customFormat="1" ht="25.15" hidden="1" customHeight="1">
      <c r="C11" s="373"/>
      <c r="D11" s="373"/>
      <c r="E11" s="373"/>
      <c r="F11" s="373"/>
      <c r="G11" s="659"/>
      <c r="H11" s="372"/>
      <c r="I11" s="373"/>
      <c r="J11" s="373"/>
      <c r="K11" s="373"/>
      <c r="L11" s="373"/>
      <c r="M11" s="373"/>
      <c r="N11" s="373"/>
      <c r="O11" s="373"/>
      <c r="P11" s="373"/>
      <c r="Q11" s="373"/>
      <c r="R11" s="373"/>
      <c r="S11" s="373"/>
      <c r="T11" s="373"/>
      <c r="U11" s="373"/>
      <c r="V11" s="373"/>
      <c r="W11" s="373"/>
      <c r="X11" s="373"/>
      <c r="Y11" s="373"/>
      <c r="Z11" s="373"/>
      <c r="AA11" s="373"/>
      <c r="AB11" s="373"/>
      <c r="AC11" s="373"/>
      <c r="AD11" s="373"/>
      <c r="AG11" s="183"/>
    </row>
    <row r="12" spans="2:35" s="70" customFormat="1" ht="15" customHeight="1">
      <c r="C12" s="633" t="s">
        <v>421</v>
      </c>
      <c r="D12" s="632" t="s">
        <v>7</v>
      </c>
      <c r="E12" s="373"/>
      <c r="F12" s="373"/>
      <c r="G12" s="659"/>
      <c r="H12" s="372"/>
      <c r="I12" s="373"/>
      <c r="J12" s="651" t="s">
        <v>13</v>
      </c>
      <c r="K12" s="651" t="s">
        <v>13</v>
      </c>
      <c r="L12" s="373"/>
      <c r="M12" s="651" t="s">
        <v>14</v>
      </c>
      <c r="N12" s="640" t="s">
        <v>12</v>
      </c>
      <c r="O12" s="641"/>
      <c r="P12" s="641"/>
      <c r="Q12" s="641"/>
      <c r="R12" s="642"/>
      <c r="S12" s="373"/>
      <c r="T12" s="660" t="s">
        <v>356</v>
      </c>
      <c r="U12" s="373"/>
      <c r="V12" s="373"/>
      <c r="W12" s="640" t="s">
        <v>14</v>
      </c>
      <c r="X12" s="641"/>
      <c r="Y12" s="642"/>
      <c r="Z12" s="373"/>
      <c r="AA12" s="653" t="s">
        <v>12</v>
      </c>
      <c r="AB12" s="654"/>
      <c r="AC12" s="654"/>
      <c r="AD12" s="655"/>
      <c r="AG12" s="183"/>
    </row>
    <row r="13" spans="2:35" s="70" customFormat="1" ht="14.25" customHeight="1">
      <c r="C13" s="634"/>
      <c r="D13" s="632"/>
      <c r="E13" s="375"/>
      <c r="F13" s="373"/>
      <c r="G13" s="659"/>
      <c r="H13" s="372"/>
      <c r="I13" s="373"/>
      <c r="J13" s="659"/>
      <c r="K13" s="659"/>
      <c r="L13" s="373"/>
      <c r="M13" s="659"/>
      <c r="N13" s="646"/>
      <c r="O13" s="647"/>
      <c r="P13" s="647"/>
      <c r="Q13" s="647"/>
      <c r="R13" s="648"/>
      <c r="S13" s="373"/>
      <c r="T13" s="661"/>
      <c r="U13" s="649"/>
      <c r="V13" s="373"/>
      <c r="W13" s="643"/>
      <c r="X13" s="644"/>
      <c r="Y13" s="645"/>
      <c r="Z13" s="373"/>
      <c r="AA13" s="656"/>
      <c r="AB13" s="657"/>
      <c r="AC13" s="657"/>
      <c r="AD13" s="658"/>
      <c r="AG13" s="183"/>
    </row>
    <row r="14" spans="2:35" s="70" customFormat="1" ht="13.5" hidden="1" customHeight="1">
      <c r="C14" s="634"/>
      <c r="D14" s="632"/>
      <c r="E14" s="375"/>
      <c r="F14" s="373"/>
      <c r="G14" s="659"/>
      <c r="H14" s="373"/>
      <c r="I14" s="373"/>
      <c r="J14" s="659"/>
      <c r="K14" s="659"/>
      <c r="L14" s="373"/>
      <c r="M14" s="659"/>
      <c r="N14" s="651" t="s">
        <v>4</v>
      </c>
      <c r="O14" s="651" t="s">
        <v>4</v>
      </c>
      <c r="P14" s="373"/>
      <c r="Q14" s="640" t="s">
        <v>5</v>
      </c>
      <c r="R14" s="642"/>
      <c r="S14" s="373"/>
      <c r="T14" s="661"/>
      <c r="U14" s="650"/>
      <c r="V14" s="373"/>
      <c r="W14" s="643"/>
      <c r="X14" s="644"/>
      <c r="Y14" s="645"/>
      <c r="Z14" s="373"/>
      <c r="AA14" s="649" t="s">
        <v>4</v>
      </c>
      <c r="AB14" s="373"/>
      <c r="AC14" s="373"/>
      <c r="AD14" s="649" t="s">
        <v>5</v>
      </c>
      <c r="AG14" s="183"/>
    </row>
    <row r="15" spans="2:35" s="70" customFormat="1" ht="18" customHeight="1">
      <c r="C15" s="634"/>
      <c r="D15" s="632"/>
      <c r="E15" s="375"/>
      <c r="F15" s="373"/>
      <c r="G15" s="652"/>
      <c r="H15" s="373"/>
      <c r="I15" s="373"/>
      <c r="J15" s="652"/>
      <c r="K15" s="652"/>
      <c r="L15" s="373"/>
      <c r="M15" s="652"/>
      <c r="N15" s="652"/>
      <c r="O15" s="652"/>
      <c r="P15" s="373"/>
      <c r="Q15" s="646"/>
      <c r="R15" s="648"/>
      <c r="S15" s="373"/>
      <c r="T15" s="662"/>
      <c r="U15" s="373"/>
      <c r="V15" s="373"/>
      <c r="W15" s="646"/>
      <c r="X15" s="647"/>
      <c r="Y15" s="648"/>
      <c r="Z15" s="373"/>
      <c r="AA15" s="650"/>
      <c r="AB15" s="373"/>
      <c r="AC15" s="373"/>
      <c r="AD15" s="650"/>
      <c r="AG15" s="183"/>
    </row>
    <row r="16" spans="2:35" ht="15">
      <c r="C16" s="326" t="s">
        <v>15</v>
      </c>
      <c r="D16" s="359" t="s">
        <v>357</v>
      </c>
      <c r="E16" s="327"/>
      <c r="F16" s="71"/>
      <c r="G16" s="143">
        <v>134807000</v>
      </c>
      <c r="H16" s="143"/>
      <c r="I16" s="143"/>
      <c r="J16" s="143">
        <v>9720312</v>
      </c>
      <c r="K16" s="143"/>
      <c r="L16" s="143"/>
      <c r="M16" s="143">
        <v>9424000</v>
      </c>
      <c r="N16" s="144">
        <v>296312</v>
      </c>
      <c r="O16" s="144"/>
      <c r="P16" s="92"/>
      <c r="Q16" s="149">
        <v>3.1442275042444821</v>
      </c>
      <c r="R16" s="92"/>
      <c r="S16" s="175"/>
      <c r="T16" s="177">
        <v>55728716</v>
      </c>
      <c r="U16" s="143"/>
      <c r="V16" s="144"/>
      <c r="W16" s="180">
        <v>56045000</v>
      </c>
      <c r="X16" s="177"/>
      <c r="Y16" s="143"/>
      <c r="Z16" s="144"/>
      <c r="AA16" s="148">
        <v>-316284</v>
      </c>
      <c r="AB16" s="92"/>
      <c r="AC16" s="92"/>
      <c r="AD16" s="149">
        <v>-0.56433937014898738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1" t="s">
        <v>16</v>
      </c>
      <c r="D17" s="359" t="s">
        <v>358</v>
      </c>
      <c r="E17" s="343"/>
      <c r="F17" s="73"/>
      <c r="G17" s="145">
        <v>358000</v>
      </c>
      <c r="H17" s="145"/>
      <c r="I17" s="145"/>
      <c r="J17" s="145"/>
      <c r="K17" s="146"/>
      <c r="L17" s="146"/>
      <c r="M17" s="146"/>
      <c r="N17" s="146"/>
      <c r="O17" s="146"/>
      <c r="P17" s="93"/>
      <c r="Q17" s="95"/>
      <c r="R17" s="93"/>
      <c r="S17" s="176"/>
      <c r="T17" s="179">
        <v>143644</v>
      </c>
      <c r="U17" s="146"/>
      <c r="V17" s="146"/>
      <c r="W17" s="181">
        <v>158000</v>
      </c>
      <c r="X17" s="178"/>
      <c r="Y17" s="146"/>
      <c r="Z17" s="146"/>
      <c r="AA17" s="146">
        <v>-14356</v>
      </c>
      <c r="AB17" s="93"/>
      <c r="AC17" s="93"/>
      <c r="AD17" s="95">
        <v>-9.0860759493670891</v>
      </c>
      <c r="AF17" s="69">
        <v>2</v>
      </c>
      <c r="AG17" s="182" t="str">
        <f t="shared" ref="AG17:AG47" si="0">IF(LEN(D17)&lt;3,"",IF(OR(ABS(AD17)&gt;20,ABS(AA17)&gt;10000000,AND(T17&gt;0,W17=0)),"填寫說明",""))</f>
        <v/>
      </c>
    </row>
    <row r="18" spans="3:34" ht="15">
      <c r="C18" s="344" t="s">
        <v>17</v>
      </c>
      <c r="D18" s="359" t="s">
        <v>359</v>
      </c>
      <c r="E18" s="342"/>
      <c r="F18" s="73"/>
      <c r="G18" s="145">
        <v>358000</v>
      </c>
      <c r="H18" s="145"/>
      <c r="I18" s="145"/>
      <c r="J18" s="145"/>
      <c r="K18" s="146"/>
      <c r="L18" s="146"/>
      <c r="M18" s="146"/>
      <c r="N18" s="146"/>
      <c r="O18" s="146"/>
      <c r="P18" s="93"/>
      <c r="Q18" s="95"/>
      <c r="R18" s="93"/>
      <c r="S18" s="176"/>
      <c r="T18" s="179">
        <v>143644</v>
      </c>
      <c r="U18" s="146"/>
      <c r="V18" s="146"/>
      <c r="W18" s="181">
        <v>158000</v>
      </c>
      <c r="X18" s="178"/>
      <c r="Y18" s="146"/>
      <c r="Z18" s="146"/>
      <c r="AA18" s="146">
        <v>-14356</v>
      </c>
      <c r="AB18" s="93"/>
      <c r="AC18" s="93"/>
      <c r="AD18" s="95">
        <v>-9.0860759493670891</v>
      </c>
      <c r="AF18" s="69">
        <v>3</v>
      </c>
      <c r="AG18" s="182" t="str">
        <f t="shared" si="0"/>
        <v/>
      </c>
    </row>
    <row r="19" spans="3:34" ht="15">
      <c r="C19" s="341" t="s">
        <v>18</v>
      </c>
      <c r="D19" s="359" t="s">
        <v>360</v>
      </c>
      <c r="E19" s="343"/>
      <c r="F19" s="73"/>
      <c r="G19" s="145">
        <v>82000</v>
      </c>
      <c r="H19" s="145"/>
      <c r="I19" s="145"/>
      <c r="J19" s="145">
        <v>623</v>
      </c>
      <c r="K19" s="145"/>
      <c r="L19" s="145"/>
      <c r="M19" s="145"/>
      <c r="N19" s="146">
        <v>623</v>
      </c>
      <c r="O19" s="146"/>
      <c r="P19" s="93"/>
      <c r="Q19" s="95"/>
      <c r="R19" s="93"/>
      <c r="S19" s="176"/>
      <c r="T19" s="179">
        <v>1383</v>
      </c>
      <c r="U19" s="145"/>
      <c r="V19" s="146"/>
      <c r="W19" s="181">
        <v>3000</v>
      </c>
      <c r="X19" s="179"/>
      <c r="Y19" s="145"/>
      <c r="Z19" s="146"/>
      <c r="AA19" s="146">
        <v>-1617</v>
      </c>
      <c r="AB19" s="93"/>
      <c r="AC19" s="93"/>
      <c r="AD19" s="95">
        <v>-53.9</v>
      </c>
      <c r="AF19" s="69">
        <v>4</v>
      </c>
      <c r="AG19" s="182" t="str">
        <f t="shared" si="0"/>
        <v/>
      </c>
    </row>
    <row r="20" spans="3:34" ht="15">
      <c r="C20" s="344" t="s">
        <v>361</v>
      </c>
      <c r="D20" s="359">
        <v>451</v>
      </c>
      <c r="E20" s="73"/>
      <c r="F20" s="73"/>
      <c r="G20" s="145">
        <v>12000</v>
      </c>
      <c r="H20" s="145"/>
      <c r="I20" s="145"/>
      <c r="J20" s="145">
        <v>623</v>
      </c>
      <c r="K20" s="145"/>
      <c r="L20" s="145"/>
      <c r="M20" s="145"/>
      <c r="N20" s="146">
        <v>623</v>
      </c>
      <c r="O20" s="146"/>
      <c r="P20" s="93"/>
      <c r="Q20" s="95"/>
      <c r="R20" s="93"/>
      <c r="S20" s="176"/>
      <c r="T20" s="354">
        <v>1383</v>
      </c>
      <c r="U20" s="145"/>
      <c r="V20" s="146"/>
      <c r="W20" s="354">
        <v>3000</v>
      </c>
      <c r="X20" s="179"/>
      <c r="Y20" s="145"/>
      <c r="Z20" s="146"/>
      <c r="AA20" s="146">
        <v>-1617</v>
      </c>
      <c r="AB20" s="93"/>
      <c r="AC20" s="93"/>
      <c r="AD20" s="95">
        <v>-53.9</v>
      </c>
      <c r="AF20" s="69">
        <v>5</v>
      </c>
      <c r="AG20" s="182" t="str">
        <f t="shared" si="0"/>
        <v>填寫說明</v>
      </c>
    </row>
    <row r="21" spans="3:34" ht="15">
      <c r="C21" s="344" t="s">
        <v>19</v>
      </c>
      <c r="D21" s="359" t="s">
        <v>362</v>
      </c>
      <c r="E21" s="343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/>
      <c r="U21" s="146"/>
      <c r="V21" s="146"/>
      <c r="W21" s="181"/>
      <c r="X21" s="179"/>
      <c r="Y21" s="145"/>
      <c r="Z21" s="145"/>
      <c r="AA21" s="145"/>
      <c r="AB21" s="93"/>
      <c r="AC21" s="95"/>
      <c r="AD21" s="95"/>
      <c r="AF21" s="69">
        <v>6</v>
      </c>
      <c r="AG21" s="182" t="str">
        <f t="shared" si="0"/>
        <v/>
      </c>
    </row>
    <row r="22" spans="3:34" ht="15">
      <c r="C22" s="341" t="s">
        <v>363</v>
      </c>
      <c r="D22" s="359" t="s">
        <v>364</v>
      </c>
      <c r="E22" s="342"/>
      <c r="F22" s="73"/>
      <c r="G22" s="145">
        <v>134362000</v>
      </c>
      <c r="H22" s="145"/>
      <c r="I22" s="145"/>
      <c r="J22" s="145">
        <v>9719255</v>
      </c>
      <c r="K22" s="146"/>
      <c r="L22" s="146"/>
      <c r="M22" s="146">
        <v>9424000</v>
      </c>
      <c r="N22" s="146">
        <v>295255</v>
      </c>
      <c r="O22" s="146"/>
      <c r="P22" s="93"/>
      <c r="Q22" s="95">
        <v>3.1330114601018675</v>
      </c>
      <c r="R22" s="93"/>
      <c r="S22" s="176"/>
      <c r="T22" s="179">
        <v>55583255</v>
      </c>
      <c r="U22" s="146"/>
      <c r="V22" s="146"/>
      <c r="W22" s="181">
        <v>55884000</v>
      </c>
      <c r="X22" s="179"/>
      <c r="Y22" s="145"/>
      <c r="Z22" s="145"/>
      <c r="AA22" s="145">
        <v>-300745</v>
      </c>
      <c r="AB22" s="93"/>
      <c r="AC22" s="95"/>
      <c r="AD22" s="95">
        <v>-0.53815940161763653</v>
      </c>
      <c r="AF22" s="69">
        <v>7</v>
      </c>
      <c r="AG22" s="182" t="str">
        <f t="shared" si="0"/>
        <v/>
      </c>
    </row>
    <row r="23" spans="3:34" ht="15">
      <c r="C23" s="344" t="s">
        <v>21</v>
      </c>
      <c r="D23" s="359" t="s">
        <v>365</v>
      </c>
      <c r="E23" s="343"/>
      <c r="F23" s="73"/>
      <c r="G23" s="145">
        <v>134362000</v>
      </c>
      <c r="H23" s="145"/>
      <c r="I23" s="145"/>
      <c r="J23" s="145">
        <v>9719255</v>
      </c>
      <c r="K23" s="145"/>
      <c r="L23" s="145"/>
      <c r="M23" s="145">
        <v>9424000</v>
      </c>
      <c r="N23" s="145">
        <v>295255</v>
      </c>
      <c r="O23" s="145"/>
      <c r="P23" s="94"/>
      <c r="Q23" s="95">
        <v>3.1330114601018675</v>
      </c>
      <c r="R23" s="95"/>
      <c r="S23" s="176"/>
      <c r="T23" s="179">
        <v>55583255</v>
      </c>
      <c r="U23" s="145"/>
      <c r="V23" s="146"/>
      <c r="W23" s="181">
        <v>55884000</v>
      </c>
      <c r="X23" s="179"/>
      <c r="Y23" s="145"/>
      <c r="Z23" s="145"/>
      <c r="AA23" s="145">
        <v>-300745</v>
      </c>
      <c r="AB23" s="93"/>
      <c r="AC23" s="95"/>
      <c r="AD23" s="95">
        <v>-0.53815940161763653</v>
      </c>
      <c r="AF23" s="69">
        <v>8</v>
      </c>
      <c r="AG23" s="182" t="str">
        <f t="shared" si="0"/>
        <v/>
      </c>
    </row>
    <row r="24" spans="3:34" ht="15">
      <c r="C24" s="141" t="s">
        <v>183</v>
      </c>
      <c r="D24" s="359" t="s">
        <v>366</v>
      </c>
      <c r="E24" s="73"/>
      <c r="F24" s="73"/>
      <c r="G24" s="145">
        <v>5000</v>
      </c>
      <c r="H24" s="145"/>
      <c r="I24" s="145"/>
      <c r="J24" s="145">
        <v>434</v>
      </c>
      <c r="K24" s="145"/>
      <c r="L24" s="145"/>
      <c r="M24" s="145"/>
      <c r="N24" s="145">
        <v>434</v>
      </c>
      <c r="O24" s="145"/>
      <c r="P24" s="94"/>
      <c r="Q24" s="95"/>
      <c r="R24" s="95"/>
      <c r="S24" s="176"/>
      <c r="T24" s="179">
        <v>434</v>
      </c>
      <c r="U24" s="145"/>
      <c r="V24" s="146"/>
      <c r="W24" s="181"/>
      <c r="X24" s="179"/>
      <c r="Y24" s="145"/>
      <c r="Z24" s="145"/>
      <c r="AA24" s="145">
        <v>434</v>
      </c>
      <c r="AB24" s="93"/>
      <c r="AC24" s="95"/>
      <c r="AD24" s="95"/>
      <c r="AF24" s="69">
        <v>9</v>
      </c>
      <c r="AG24" s="182" t="str">
        <f t="shared" si="0"/>
        <v/>
      </c>
    </row>
    <row r="25" spans="3:34" ht="15">
      <c r="C25" s="142" t="s">
        <v>367</v>
      </c>
      <c r="D25" s="359" t="s">
        <v>368</v>
      </c>
      <c r="E25" s="73"/>
      <c r="F25" s="73"/>
      <c r="G25" s="145">
        <v>5000</v>
      </c>
      <c r="H25" s="145"/>
      <c r="I25" s="145"/>
      <c r="J25" s="145">
        <v>434</v>
      </c>
      <c r="K25" s="145"/>
      <c r="L25" s="145"/>
      <c r="M25" s="145"/>
      <c r="N25" s="145">
        <v>434</v>
      </c>
      <c r="O25" s="145"/>
      <c r="P25" s="94"/>
      <c r="Q25" s="95"/>
      <c r="R25" s="95"/>
      <c r="S25" s="176"/>
      <c r="T25" s="179">
        <v>434</v>
      </c>
      <c r="U25" s="145"/>
      <c r="V25" s="146"/>
      <c r="W25" s="181"/>
      <c r="X25" s="179"/>
      <c r="Y25" s="145"/>
      <c r="Z25" s="145"/>
      <c r="AA25" s="145">
        <v>434</v>
      </c>
      <c r="AB25" s="93"/>
      <c r="AC25" s="95"/>
      <c r="AD25" s="95"/>
      <c r="AF25" s="69">
        <v>11</v>
      </c>
      <c r="AG25" s="182" t="str">
        <f t="shared" si="0"/>
        <v>填寫說明</v>
      </c>
    </row>
    <row r="26" spans="3:34" ht="15">
      <c r="C26" s="137" t="s">
        <v>166</v>
      </c>
      <c r="D26" s="359" t="s">
        <v>369</v>
      </c>
      <c r="E26" s="73"/>
      <c r="F26" s="73"/>
      <c r="G26" s="145">
        <v>137371000</v>
      </c>
      <c r="H26" s="145"/>
      <c r="I26" s="145"/>
      <c r="J26" s="145">
        <v>9483516</v>
      </c>
      <c r="K26" s="145"/>
      <c r="L26" s="145"/>
      <c r="M26" s="146">
        <v>9424000</v>
      </c>
      <c r="N26" s="145">
        <v>59516</v>
      </c>
      <c r="O26" s="145"/>
      <c r="P26" s="94"/>
      <c r="Q26" s="95">
        <v>0.63153650254668925</v>
      </c>
      <c r="R26" s="93"/>
      <c r="S26" s="93"/>
      <c r="T26" s="145">
        <v>56084211</v>
      </c>
      <c r="U26" s="145"/>
      <c r="V26" s="146"/>
      <c r="W26" s="145">
        <v>58609000</v>
      </c>
      <c r="X26" s="145"/>
      <c r="Y26" s="145"/>
      <c r="Z26" s="145"/>
      <c r="AA26" s="145">
        <v>-2524789</v>
      </c>
      <c r="AB26" s="93"/>
      <c r="AC26" s="95"/>
      <c r="AD26" s="95">
        <v>-4.3078520363766657</v>
      </c>
      <c r="AF26" s="69">
        <v>12</v>
      </c>
      <c r="AG26" s="182" t="str">
        <f t="shared" si="0"/>
        <v/>
      </c>
    </row>
    <row r="27" spans="3:34" ht="15">
      <c r="C27" s="141" t="s">
        <v>22</v>
      </c>
      <c r="D27" s="359" t="s">
        <v>370</v>
      </c>
      <c r="E27" s="137"/>
      <c r="F27" s="73"/>
      <c r="G27" s="145">
        <v>137171000</v>
      </c>
      <c r="H27" s="145"/>
      <c r="I27" s="145"/>
      <c r="J27" s="145">
        <v>9483516</v>
      </c>
      <c r="K27" s="145"/>
      <c r="L27" s="145"/>
      <c r="M27" s="146">
        <v>9424000</v>
      </c>
      <c r="N27" s="145">
        <v>59516</v>
      </c>
      <c r="O27" s="145"/>
      <c r="P27" s="94"/>
      <c r="Q27" s="95">
        <v>0.63153650254668925</v>
      </c>
      <c r="R27" s="93"/>
      <c r="S27" s="93"/>
      <c r="T27" s="145">
        <v>56084211</v>
      </c>
      <c r="U27" s="145"/>
      <c r="V27" s="146"/>
      <c r="W27" s="145">
        <v>58559000</v>
      </c>
      <c r="X27" s="145"/>
      <c r="Y27" s="145"/>
      <c r="Z27" s="145"/>
      <c r="AA27" s="145">
        <v>-2474789</v>
      </c>
      <c r="AB27" s="93"/>
      <c r="AC27" s="95"/>
      <c r="AD27" s="95">
        <v>-4.2261462798203517</v>
      </c>
      <c r="AF27" s="69">
        <v>13</v>
      </c>
      <c r="AG27" s="182" t="str">
        <f t="shared" si="0"/>
        <v/>
      </c>
    </row>
    <row r="28" spans="3:34" ht="15">
      <c r="C28" s="142" t="s">
        <v>424</v>
      </c>
      <c r="D28" s="359">
        <v>532</v>
      </c>
      <c r="E28" s="137"/>
      <c r="F28" s="73"/>
      <c r="G28" s="145">
        <v>137171000</v>
      </c>
      <c r="H28" s="145"/>
      <c r="I28" s="145"/>
      <c r="J28" s="145">
        <v>9483516</v>
      </c>
      <c r="K28" s="145"/>
      <c r="L28" s="145"/>
      <c r="M28" s="146">
        <v>9424000</v>
      </c>
      <c r="N28" s="145">
        <v>59516</v>
      </c>
      <c r="O28" s="145"/>
      <c r="P28" s="94"/>
      <c r="Q28" s="95">
        <v>0.63153650254668925</v>
      </c>
      <c r="R28" s="93"/>
      <c r="S28" s="93"/>
      <c r="T28" s="145">
        <v>56084211</v>
      </c>
      <c r="U28" s="145"/>
      <c r="V28" s="146"/>
      <c r="W28" s="145">
        <v>58559000</v>
      </c>
      <c r="X28" s="145"/>
      <c r="Y28" s="145"/>
      <c r="Z28" s="145"/>
      <c r="AA28" s="145">
        <v>-2474789</v>
      </c>
      <c r="AB28" s="93"/>
      <c r="AC28" s="95"/>
      <c r="AD28" s="95">
        <v>-4.2261462798203517</v>
      </c>
      <c r="AF28" s="69">
        <v>14</v>
      </c>
      <c r="AG28" s="182" t="str">
        <f t="shared" si="0"/>
        <v/>
      </c>
      <c r="AH28" s="182">
        <f t="shared" ref="AH28:AH30" si="1">IF(AA28&gt;0,"超支",0)</f>
        <v>0</v>
      </c>
    </row>
    <row r="29" spans="3:34" ht="15">
      <c r="C29" s="141" t="s">
        <v>23</v>
      </c>
      <c r="D29" s="359" t="s">
        <v>440</v>
      </c>
      <c r="E29" s="137"/>
      <c r="F29" s="73"/>
      <c r="G29" s="145">
        <v>200000</v>
      </c>
      <c r="H29" s="145"/>
      <c r="I29" s="145"/>
      <c r="J29" s="145"/>
      <c r="K29" s="145"/>
      <c r="L29" s="145"/>
      <c r="M29" s="146"/>
      <c r="N29" s="145"/>
      <c r="O29" s="145"/>
      <c r="P29" s="94"/>
      <c r="Q29" s="95"/>
      <c r="R29" s="93"/>
      <c r="S29" s="93"/>
      <c r="T29" s="145"/>
      <c r="U29" s="145"/>
      <c r="V29" s="146"/>
      <c r="W29" s="145">
        <v>50000</v>
      </c>
      <c r="X29" s="145"/>
      <c r="Y29" s="145"/>
      <c r="Z29" s="145"/>
      <c r="AA29" s="145">
        <v>-50000</v>
      </c>
      <c r="AB29" s="93"/>
      <c r="AC29" s="95"/>
      <c r="AD29" s="95">
        <v>-100</v>
      </c>
      <c r="AF29" s="69">
        <v>15</v>
      </c>
      <c r="AG29" s="182" t="str">
        <f t="shared" si="0"/>
        <v/>
      </c>
      <c r="AH29" s="182"/>
    </row>
    <row r="30" spans="3:34" ht="15">
      <c r="C30" s="142" t="s">
        <v>441</v>
      </c>
      <c r="D30" s="359" t="s">
        <v>442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/>
      <c r="N30" s="145"/>
      <c r="O30" s="145"/>
      <c r="P30" s="94"/>
      <c r="Q30" s="95"/>
      <c r="R30" s="93"/>
      <c r="S30" s="93"/>
      <c r="T30" s="145"/>
      <c r="U30" s="145"/>
      <c r="V30" s="146"/>
      <c r="W30" s="145">
        <v>50000</v>
      </c>
      <c r="X30" s="145"/>
      <c r="Y30" s="145"/>
      <c r="Z30" s="145"/>
      <c r="AA30" s="145">
        <v>-50000</v>
      </c>
      <c r="AB30" s="93"/>
      <c r="AC30" s="95"/>
      <c r="AD30" s="95">
        <v>-100</v>
      </c>
      <c r="AF30" s="69">
        <v>17</v>
      </c>
      <c r="AG30" s="182" t="str">
        <f t="shared" si="0"/>
        <v>填寫說明</v>
      </c>
      <c r="AH30" s="182">
        <f t="shared" si="1"/>
        <v>0</v>
      </c>
    </row>
    <row r="31" spans="3:34" ht="15">
      <c r="C31" s="137" t="s">
        <v>165</v>
      </c>
      <c r="D31" s="359" t="s">
        <v>371</v>
      </c>
      <c r="E31" s="73"/>
      <c r="F31" s="73"/>
      <c r="G31" s="145">
        <v>-2564000</v>
      </c>
      <c r="H31" s="145"/>
      <c r="I31" s="145"/>
      <c r="J31" s="145">
        <v>236796</v>
      </c>
      <c r="K31" s="146"/>
      <c r="L31" s="146"/>
      <c r="M31" s="146"/>
      <c r="N31" s="146">
        <v>236796</v>
      </c>
      <c r="O31" s="146"/>
      <c r="P31" s="93"/>
      <c r="Q31" s="95"/>
      <c r="R31" s="93"/>
      <c r="S31" s="93"/>
      <c r="T31" s="145">
        <v>-355495</v>
      </c>
      <c r="U31" s="145"/>
      <c r="V31" s="146"/>
      <c r="W31" s="145">
        <v>-2564000</v>
      </c>
      <c r="X31" s="145"/>
      <c r="Y31" s="145"/>
      <c r="Z31" s="145"/>
      <c r="AA31" s="145">
        <v>2208505</v>
      </c>
      <c r="AB31" s="93"/>
      <c r="AC31" s="95"/>
      <c r="AD31" s="95">
        <v>-86.135140405616227</v>
      </c>
      <c r="AF31" s="69">
        <v>18</v>
      </c>
      <c r="AG31" s="182" t="str">
        <f t="shared" si="0"/>
        <v/>
      </c>
      <c r="AH31" s="182">
        <f>IF(AA31&lt;0,"實際數超過累計預算數",0)</f>
        <v>0</v>
      </c>
    </row>
    <row r="32" spans="3:34" ht="15">
      <c r="C32" s="137" t="s">
        <v>24</v>
      </c>
      <c r="D32" s="359" t="s">
        <v>372</v>
      </c>
      <c r="E32" s="73"/>
      <c r="F32" s="73"/>
      <c r="G32" s="145">
        <v>6800034</v>
      </c>
      <c r="H32" s="145"/>
      <c r="I32" s="145"/>
      <c r="J32" s="145"/>
      <c r="K32" s="146"/>
      <c r="L32" s="146"/>
      <c r="M32" s="146"/>
      <c r="N32" s="146"/>
      <c r="O32" s="146"/>
      <c r="P32" s="93"/>
      <c r="Q32" s="95"/>
      <c r="R32" s="93"/>
      <c r="S32" s="93"/>
      <c r="T32" s="145">
        <v>8616300</v>
      </c>
      <c r="U32" s="145"/>
      <c r="V32" s="146"/>
      <c r="W32" s="145">
        <v>6800034</v>
      </c>
      <c r="X32" s="145"/>
      <c r="Y32" s="145"/>
      <c r="Z32" s="145"/>
      <c r="AA32" s="145">
        <v>1816266</v>
      </c>
      <c r="AB32" s="93"/>
      <c r="AC32" s="95"/>
      <c r="AD32" s="95">
        <v>26.709660569344209</v>
      </c>
      <c r="AG32" s="182" t="str">
        <f t="shared" si="0"/>
        <v/>
      </c>
    </row>
    <row r="33" spans="3:33" ht="15">
      <c r="C33" s="72" t="s">
        <v>25</v>
      </c>
      <c r="D33" s="359">
        <v>72</v>
      </c>
      <c r="E33" s="73"/>
      <c r="F33" s="73"/>
      <c r="G33" s="145"/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/>
      <c r="U33" s="145"/>
      <c r="V33" s="146"/>
      <c r="W33" s="145"/>
      <c r="X33" s="145"/>
      <c r="Y33" s="145"/>
      <c r="Z33" s="145"/>
      <c r="AA33" s="145"/>
      <c r="AB33" s="93"/>
      <c r="AC33" s="95"/>
      <c r="AD33" s="95"/>
      <c r="AG33" s="182" t="str">
        <f t="shared" si="0"/>
        <v/>
      </c>
    </row>
    <row r="34" spans="3:33" ht="15">
      <c r="C34" s="72" t="s">
        <v>26</v>
      </c>
      <c r="D34" s="359" t="s">
        <v>373</v>
      </c>
      <c r="E34" s="73"/>
      <c r="F34" s="73"/>
      <c r="G34" s="145">
        <v>4236034</v>
      </c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>
        <v>8260805</v>
      </c>
      <c r="U34" s="145"/>
      <c r="V34" s="146"/>
      <c r="W34" s="145">
        <v>4236034</v>
      </c>
      <c r="X34" s="145"/>
      <c r="Y34" s="145"/>
      <c r="Z34" s="145"/>
      <c r="AA34" s="145">
        <v>4024771</v>
      </c>
      <c r="AB34" s="93"/>
      <c r="AC34" s="95"/>
      <c r="AD34" s="95">
        <v>95.012717083951642</v>
      </c>
      <c r="AG34" s="182" t="str">
        <f t="shared" si="0"/>
        <v/>
      </c>
    </row>
    <row r="35" spans="3:33" ht="15" hidden="1" customHeight="1">
      <c r="C35" s="72"/>
      <c r="D35" s="360"/>
      <c r="E35" s="73"/>
      <c r="F35" s="73"/>
      <c r="G35" s="146"/>
      <c r="H35" s="146"/>
      <c r="I35" s="146"/>
      <c r="J35" s="146"/>
      <c r="K35" s="146"/>
      <c r="L35" s="146"/>
      <c r="M35" s="146"/>
      <c r="N35" s="146"/>
      <c r="O35" s="146"/>
      <c r="P35" s="93"/>
      <c r="Q35" s="93"/>
      <c r="R35" s="93"/>
      <c r="S35" s="93"/>
      <c r="T35" s="146"/>
      <c r="U35" s="146"/>
      <c r="V35" s="146"/>
      <c r="W35" s="146"/>
      <c r="X35" s="146"/>
      <c r="Y35" s="146"/>
      <c r="Z35" s="146"/>
      <c r="AA35" s="146"/>
      <c r="AB35" s="93"/>
      <c r="AC35" s="93"/>
      <c r="AD35" s="93"/>
      <c r="AG35" s="182" t="str">
        <f t="shared" si="0"/>
        <v/>
      </c>
    </row>
    <row r="36" spans="3:33" ht="15" hidden="1" customHeight="1">
      <c r="C36" s="72"/>
      <c r="D36" s="360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60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60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60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60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60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60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60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60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60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>
      <c r="C46" s="72"/>
      <c r="D46" s="360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139"/>
      <c r="D47" s="361"/>
      <c r="E47" s="140"/>
      <c r="F47" s="140"/>
      <c r="G47" s="147"/>
      <c r="H47" s="147"/>
      <c r="I47" s="147"/>
      <c r="J47" s="147"/>
      <c r="K47" s="147"/>
      <c r="L47" s="147"/>
      <c r="M47" s="147"/>
      <c r="N47" s="147"/>
      <c r="O47" s="147"/>
      <c r="P47" s="96"/>
      <c r="Q47" s="96"/>
      <c r="R47" s="96"/>
      <c r="S47" s="96"/>
      <c r="T47" s="147"/>
      <c r="U47" s="147"/>
      <c r="V47" s="147"/>
      <c r="W47" s="147"/>
      <c r="X47" s="147"/>
      <c r="Y47" s="147"/>
      <c r="Z47" s="147"/>
      <c r="AA47" s="147"/>
      <c r="AB47" s="96"/>
      <c r="AC47" s="96"/>
      <c r="AD47" s="96"/>
      <c r="AG47" s="182" t="str">
        <f t="shared" si="0"/>
        <v/>
      </c>
    </row>
    <row r="48" spans="3:33" ht="7.5" customHeight="1">
      <c r="AG48" s="69"/>
    </row>
    <row r="49" spans="2:33" ht="12" customHeight="1">
      <c r="B49" s="138"/>
      <c r="AG49" s="69"/>
    </row>
    <row r="50" spans="2:33" ht="43.5" customHeight="1">
      <c r="T50" s="69" t="e">
        <f>VLOOKUP("銀行存款-縣庫存款",平衡!$E$13:$H$81,4,0)+VLOOKUP("零用及週轉金",平衡!$D$13:$H$81,5,0)+VLOOKUP("預付費用",平衡!$D$13:$H$81,5,0)</f>
        <v>#N/A</v>
      </c>
      <c r="AG50" s="69"/>
    </row>
  </sheetData>
  <sortState xmlns:xlrd2="http://schemas.microsoft.com/office/spreadsheetml/2017/richdata2" ref="A16:AM51">
    <sortCondition ref="AF16:AF51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20" priority="13">
      <formula>AND(T16&gt;0,W16=0)</formula>
    </cfRule>
  </conditionalFormatting>
  <conditionalFormatting sqref="T20">
    <cfRule type="expression" dxfId="19" priority="8">
      <formula>AND(T20&gt;0,W20=0)</formula>
    </cfRule>
  </conditionalFormatting>
  <conditionalFormatting sqref="W20">
    <cfRule type="expression" dxfId="18" priority="7">
      <formula>AND(W20&gt;0,Z20=0)</formula>
    </cfRule>
  </conditionalFormatting>
  <conditionalFormatting sqref="W20">
    <cfRule type="expression" dxfId="17" priority="6">
      <formula>AND(W20&gt;0,Z20=0)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4">
    <cfRule type="cellIs" dxfId="13" priority="1" operator="notEqual">
      <formula>$T$50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92"/>
  <sheetViews>
    <sheetView showGridLines="0" showZeros="0" showOutlineSymbols="0" view="pageBreakPreview" topLeftCell="A2" zoomScaleSheetLayoutView="100" workbookViewId="0">
      <selection activeCell="J11" sqref="J11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70" t="str">
        <f>封面!$A$4</f>
        <v>彰化縣地方教育發展基金－彰化縣彰化市民生國民小學</v>
      </c>
      <c r="B2" s="670"/>
      <c r="C2" s="670"/>
      <c r="D2" s="670"/>
      <c r="E2" s="670"/>
      <c r="F2" s="670"/>
      <c r="G2" s="670"/>
      <c r="H2" s="670"/>
      <c r="I2" s="670"/>
      <c r="J2" s="670"/>
      <c r="K2" s="670"/>
      <c r="L2" s="670"/>
      <c r="M2" s="670"/>
      <c r="N2" s="670"/>
      <c r="O2" s="670"/>
      <c r="P2" s="670"/>
      <c r="Q2" s="670"/>
      <c r="R2" s="670"/>
      <c r="S2" s="670"/>
      <c r="T2" s="670"/>
      <c r="U2" s="670"/>
    </row>
    <row r="3" spans="1:21" ht="21">
      <c r="A3" s="672" t="s">
        <v>0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  <c r="P3" s="672"/>
      <c r="Q3" s="672"/>
      <c r="R3" s="672"/>
      <c r="S3" s="672"/>
      <c r="T3" s="672"/>
      <c r="U3" s="672"/>
    </row>
    <row r="4" spans="1:21" ht="19.5">
      <c r="A4" s="673" t="str">
        <f>封面!$E$10&amp;封面!$H$10&amp;封面!$I$10&amp;封面!$J$10&amp;封面!$K$10&amp;封面!$O$10&amp;"日"</f>
        <v>中華民國114年4月30日</v>
      </c>
      <c r="B4" s="673"/>
      <c r="C4" s="673"/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  <c r="Q4" s="673"/>
      <c r="R4" s="673"/>
      <c r="S4" s="673"/>
      <c r="T4" s="673"/>
      <c r="U4" s="673"/>
    </row>
    <row r="5" spans="1:21" ht="2.25" customHeight="1"/>
    <row r="6" spans="1:21" ht="15.75" customHeight="1">
      <c r="A6" s="671" t="s">
        <v>1</v>
      </c>
      <c r="B6" s="671"/>
      <c r="C6" s="671"/>
      <c r="D6" s="671"/>
      <c r="E6" s="671"/>
      <c r="F6" s="671"/>
      <c r="G6" s="671"/>
      <c r="H6" s="671"/>
      <c r="I6" s="671"/>
      <c r="J6" s="671"/>
      <c r="K6" s="671"/>
      <c r="L6" s="671"/>
      <c r="M6" s="671"/>
      <c r="N6" s="671"/>
      <c r="O6" s="671"/>
      <c r="P6" s="671"/>
      <c r="Q6" s="671"/>
      <c r="R6" s="671"/>
      <c r="S6" s="671"/>
      <c r="T6" s="671"/>
      <c r="U6" s="671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67" t="s">
        <v>2</v>
      </c>
      <c r="B8" s="667"/>
      <c r="C8" s="667"/>
      <c r="D8" s="667"/>
      <c r="E8" s="667"/>
      <c r="F8" s="667"/>
      <c r="G8" s="289"/>
      <c r="H8" s="1"/>
      <c r="I8" s="1"/>
      <c r="J8" s="365"/>
      <c r="K8" s="674" t="s">
        <v>3</v>
      </c>
      <c r="L8" s="674"/>
      <c r="M8" s="674"/>
      <c r="N8" s="674"/>
      <c r="O8" s="674"/>
      <c r="P8" s="674"/>
      <c r="Q8" s="675"/>
      <c r="R8" s="289"/>
      <c r="S8" s="289"/>
      <c r="T8" s="289"/>
      <c r="U8" s="1"/>
    </row>
    <row r="9" spans="1:21" ht="18" customHeight="1">
      <c r="A9" s="667"/>
      <c r="B9" s="667"/>
      <c r="C9" s="667"/>
      <c r="D9" s="667"/>
      <c r="E9" s="667"/>
      <c r="F9" s="667"/>
      <c r="G9" s="289"/>
      <c r="H9" s="667" t="s">
        <v>4</v>
      </c>
      <c r="I9" s="667" t="s">
        <v>5</v>
      </c>
      <c r="J9" s="365"/>
      <c r="K9" s="674"/>
      <c r="L9" s="674"/>
      <c r="M9" s="674"/>
      <c r="N9" s="674"/>
      <c r="O9" s="674"/>
      <c r="P9" s="674"/>
      <c r="Q9" s="675"/>
      <c r="R9" s="289"/>
      <c r="S9" s="289"/>
      <c r="T9" s="664" t="s">
        <v>4</v>
      </c>
      <c r="U9" s="667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67"/>
      <c r="I10" s="667"/>
      <c r="J10" s="1"/>
      <c r="K10" s="1"/>
      <c r="L10" s="1"/>
      <c r="M10" s="1"/>
      <c r="N10" s="1"/>
      <c r="O10" s="1"/>
      <c r="P10" s="1"/>
      <c r="Q10" s="1"/>
      <c r="R10" s="1"/>
      <c r="S10" s="1"/>
      <c r="T10" s="665"/>
      <c r="U10" s="667"/>
    </row>
    <row r="11" spans="1:21" ht="18" customHeight="1">
      <c r="A11" s="667" t="s">
        <v>6</v>
      </c>
      <c r="B11" s="667"/>
      <c r="C11" s="667"/>
      <c r="D11" s="667"/>
      <c r="E11" s="667"/>
      <c r="F11" s="667" t="s">
        <v>7</v>
      </c>
      <c r="G11" s="289"/>
      <c r="H11" s="667"/>
      <c r="I11" s="667"/>
      <c r="J11" s="365"/>
      <c r="K11" s="674" t="s">
        <v>6</v>
      </c>
      <c r="L11" s="674"/>
      <c r="M11" s="674"/>
      <c r="N11" s="674"/>
      <c r="O11" s="675"/>
      <c r="P11" s="289"/>
      <c r="Q11" s="667" t="s">
        <v>7</v>
      </c>
      <c r="R11" s="289"/>
      <c r="S11" s="289"/>
      <c r="T11" s="666"/>
      <c r="U11" s="667"/>
    </row>
    <row r="12" spans="1:21" ht="14.25" hidden="1">
      <c r="A12" s="667"/>
      <c r="B12" s="667"/>
      <c r="C12" s="667"/>
      <c r="D12" s="667"/>
      <c r="E12" s="667"/>
      <c r="F12" s="667"/>
      <c r="G12" s="289"/>
      <c r="H12" s="1"/>
      <c r="I12" s="1"/>
      <c r="J12" s="365"/>
      <c r="K12" s="674"/>
      <c r="L12" s="674"/>
      <c r="M12" s="674"/>
      <c r="N12" s="674"/>
      <c r="O12" s="675"/>
      <c r="P12" s="289"/>
      <c r="Q12" s="667"/>
      <c r="R12" s="289"/>
      <c r="S12" s="289"/>
      <c r="T12" s="289"/>
      <c r="U12" s="1"/>
    </row>
    <row r="13" spans="1:21" ht="14.25">
      <c r="A13" s="101" t="s">
        <v>486</v>
      </c>
      <c r="B13" s="102"/>
      <c r="C13" s="339"/>
      <c r="D13" s="339"/>
      <c r="E13" s="340"/>
      <c r="F13" s="104" t="s">
        <v>487</v>
      </c>
      <c r="G13" s="104"/>
      <c r="H13" s="105">
        <v>358971093</v>
      </c>
      <c r="I13" s="285">
        <v>100</v>
      </c>
      <c r="J13" s="366"/>
      <c r="K13" s="102" t="s">
        <v>539</v>
      </c>
      <c r="L13" s="102"/>
      <c r="M13" s="102"/>
      <c r="N13" s="102"/>
      <c r="O13" s="103"/>
      <c r="P13" s="103"/>
      <c r="Q13" s="106" t="s">
        <v>540</v>
      </c>
      <c r="R13" s="104"/>
      <c r="S13" s="104"/>
      <c r="T13" s="518">
        <v>19545323</v>
      </c>
      <c r="U13" s="394">
        <v>5.4448180873438741</v>
      </c>
    </row>
    <row r="14" spans="1:21" ht="14.25">
      <c r="A14" s="297"/>
      <c r="B14" s="108" t="s">
        <v>488</v>
      </c>
      <c r="C14" s="324"/>
      <c r="D14" s="324"/>
      <c r="E14" s="325"/>
      <c r="F14" s="114" t="s">
        <v>489</v>
      </c>
      <c r="G14" s="114"/>
      <c r="H14" s="111">
        <v>25657131</v>
      </c>
      <c r="I14" s="286">
        <v>7.1474086633488341</v>
      </c>
      <c r="J14" s="107"/>
      <c r="K14" s="108"/>
      <c r="L14" s="108" t="s">
        <v>541</v>
      </c>
      <c r="M14" s="108"/>
      <c r="N14" s="108"/>
      <c r="O14" s="109"/>
      <c r="P14" s="109"/>
      <c r="Q14" s="112" t="s">
        <v>542</v>
      </c>
      <c r="R14" s="114"/>
      <c r="S14" s="114"/>
      <c r="T14" s="433">
        <v>16486733</v>
      </c>
      <c r="U14" s="395">
        <v>4.5927745496766228</v>
      </c>
    </row>
    <row r="15" spans="1:21" ht="14.25">
      <c r="A15" s="297"/>
      <c r="B15" s="108"/>
      <c r="C15" s="324" t="s">
        <v>490</v>
      </c>
      <c r="D15" s="324"/>
      <c r="E15" s="325"/>
      <c r="F15" s="114" t="s">
        <v>491</v>
      </c>
      <c r="G15" s="114"/>
      <c r="H15" s="111">
        <v>24308736</v>
      </c>
      <c r="I15" s="286">
        <v>6.7717809244322629</v>
      </c>
      <c r="J15" s="107"/>
      <c r="K15" s="108"/>
      <c r="L15" s="108"/>
      <c r="M15" s="108" t="s">
        <v>543</v>
      </c>
      <c r="N15" s="108"/>
      <c r="O15" s="109"/>
      <c r="P15" s="109"/>
      <c r="Q15" s="112" t="s">
        <v>544</v>
      </c>
      <c r="R15" s="114"/>
      <c r="S15" s="114"/>
      <c r="T15" s="433">
        <v>16486733</v>
      </c>
      <c r="U15" s="395">
        <v>4.5927745496766228</v>
      </c>
    </row>
    <row r="16" spans="1:21" ht="14.25">
      <c r="A16" s="297"/>
      <c r="B16" s="108"/>
      <c r="C16" s="324"/>
      <c r="D16" s="324" t="s">
        <v>492</v>
      </c>
      <c r="E16" s="325"/>
      <c r="F16" s="114" t="s">
        <v>493</v>
      </c>
      <c r="G16" s="114"/>
      <c r="H16" s="111">
        <v>24248736</v>
      </c>
      <c r="I16" s="286">
        <v>6.7550664866488299</v>
      </c>
      <c r="J16" s="107"/>
      <c r="K16" s="108"/>
      <c r="L16" s="108"/>
      <c r="M16" s="108"/>
      <c r="N16" s="108" t="s">
        <v>545</v>
      </c>
      <c r="O16" s="109"/>
      <c r="P16" s="109"/>
      <c r="Q16" s="112" t="s">
        <v>546</v>
      </c>
      <c r="R16" s="114"/>
      <c r="S16" s="114"/>
      <c r="T16" s="433">
        <v>16486733</v>
      </c>
      <c r="U16" s="395">
        <v>4.5927745496766228</v>
      </c>
    </row>
    <row r="17" spans="1:21" ht="14.25">
      <c r="A17" s="297"/>
      <c r="B17" s="108"/>
      <c r="C17" s="324"/>
      <c r="D17" s="324"/>
      <c r="E17" s="325" t="s">
        <v>494</v>
      </c>
      <c r="F17" s="114" t="s">
        <v>495</v>
      </c>
      <c r="G17" s="114"/>
      <c r="H17" s="111">
        <v>8200805</v>
      </c>
      <c r="I17" s="286">
        <v>2.2845307491096505</v>
      </c>
      <c r="J17" s="107"/>
      <c r="K17" s="108"/>
      <c r="L17" s="108"/>
      <c r="M17" s="108"/>
      <c r="N17" s="108" t="s">
        <v>547</v>
      </c>
      <c r="O17" s="109"/>
      <c r="P17" s="109"/>
      <c r="Q17" s="112" t="s">
        <v>548</v>
      </c>
      <c r="R17" s="114"/>
      <c r="S17" s="114"/>
      <c r="T17" s="433">
        <v>0</v>
      </c>
      <c r="U17" s="395">
        <v>0</v>
      </c>
    </row>
    <row r="18" spans="1:21" ht="14.25">
      <c r="A18" s="297"/>
      <c r="B18" s="108"/>
      <c r="C18" s="324"/>
      <c r="D18" s="324"/>
      <c r="E18" s="325" t="s">
        <v>496</v>
      </c>
      <c r="F18" s="114" t="s">
        <v>497</v>
      </c>
      <c r="G18" s="114"/>
      <c r="H18" s="111">
        <v>16047931</v>
      </c>
      <c r="I18" s="286">
        <v>4.4705357375391781</v>
      </c>
      <c r="J18" s="107"/>
      <c r="K18" s="108"/>
      <c r="L18" s="108" t="s">
        <v>549</v>
      </c>
      <c r="M18" s="108"/>
      <c r="N18" s="108"/>
      <c r="O18" s="109"/>
      <c r="P18" s="109"/>
      <c r="Q18" s="112" t="s">
        <v>550</v>
      </c>
      <c r="R18" s="114"/>
      <c r="S18" s="114"/>
      <c r="T18" s="433">
        <v>3058590</v>
      </c>
      <c r="U18" s="395">
        <v>0.85204353766725172</v>
      </c>
    </row>
    <row r="19" spans="1:21" ht="14.25">
      <c r="A19" s="297"/>
      <c r="B19" s="108"/>
      <c r="C19" s="324"/>
      <c r="D19" s="324" t="s">
        <v>498</v>
      </c>
      <c r="E19" s="325"/>
      <c r="F19" s="114" t="s">
        <v>499</v>
      </c>
      <c r="G19" s="114"/>
      <c r="H19" s="111">
        <v>60000</v>
      </c>
      <c r="I19" s="286">
        <v>1.6714437783434555E-2</v>
      </c>
      <c r="J19" s="107"/>
      <c r="K19" s="108"/>
      <c r="L19" s="108"/>
      <c r="M19" s="108" t="s">
        <v>551</v>
      </c>
      <c r="N19" s="108"/>
      <c r="O19" s="109"/>
      <c r="P19" s="109"/>
      <c r="Q19" s="112" t="s">
        <v>552</v>
      </c>
      <c r="R19" s="114"/>
      <c r="S19" s="114"/>
      <c r="T19" s="433">
        <v>3058590</v>
      </c>
      <c r="U19" s="395">
        <v>0.85204353766725172</v>
      </c>
    </row>
    <row r="20" spans="1:21" ht="14.25">
      <c r="A20" s="297"/>
      <c r="B20" s="108"/>
      <c r="C20" s="324" t="s">
        <v>500</v>
      </c>
      <c r="D20" s="324"/>
      <c r="E20" s="325"/>
      <c r="F20" s="114" t="s">
        <v>501</v>
      </c>
      <c r="G20" s="114"/>
      <c r="H20" s="111">
        <v>1348395</v>
      </c>
      <c r="I20" s="286">
        <v>0.37562773891657064</v>
      </c>
      <c r="J20" s="107"/>
      <c r="K20" s="108"/>
      <c r="L20" s="108"/>
      <c r="M20" s="108"/>
      <c r="N20" s="108" t="s">
        <v>553</v>
      </c>
      <c r="O20" s="109"/>
      <c r="P20" s="109"/>
      <c r="Q20" s="112" t="s">
        <v>554</v>
      </c>
      <c r="R20" s="114"/>
      <c r="S20" s="114"/>
      <c r="T20" s="433">
        <v>909593</v>
      </c>
      <c r="U20" s="395">
        <v>0.2533889267791265</v>
      </c>
    </row>
    <row r="21" spans="1:21" ht="14.25">
      <c r="A21" s="297"/>
      <c r="B21" s="108"/>
      <c r="C21" s="324"/>
      <c r="D21" s="324" t="s">
        <v>502</v>
      </c>
      <c r="E21" s="325"/>
      <c r="F21" s="114" t="s">
        <v>503</v>
      </c>
      <c r="G21" s="114"/>
      <c r="H21" s="111">
        <v>1348395</v>
      </c>
      <c r="I21" s="286">
        <v>0.37562773891657064</v>
      </c>
      <c r="J21" s="107"/>
      <c r="K21" s="108"/>
      <c r="L21" s="108"/>
      <c r="M21" s="108"/>
      <c r="N21" s="108" t="s">
        <v>555</v>
      </c>
      <c r="O21" s="109"/>
      <c r="P21" s="109"/>
      <c r="Q21" s="112" t="s">
        <v>556</v>
      </c>
      <c r="R21" s="114"/>
      <c r="S21" s="114"/>
      <c r="T21" s="433">
        <v>2148997</v>
      </c>
      <c r="U21" s="395">
        <v>0.59865461088812522</v>
      </c>
    </row>
    <row r="22" spans="1:21" ht="14.25">
      <c r="A22" s="297"/>
      <c r="B22" s="108" t="s">
        <v>504</v>
      </c>
      <c r="C22" s="324"/>
      <c r="D22" s="324"/>
      <c r="E22" s="325"/>
      <c r="F22" s="114" t="s">
        <v>505</v>
      </c>
      <c r="G22" s="114"/>
      <c r="H22" s="111">
        <v>2148997</v>
      </c>
      <c r="I22" s="286">
        <v>0.59865461088812522</v>
      </c>
      <c r="J22" s="107"/>
      <c r="K22" s="108" t="s">
        <v>557</v>
      </c>
      <c r="L22" s="108"/>
      <c r="M22" s="108"/>
      <c r="N22" s="108"/>
      <c r="O22" s="109"/>
      <c r="P22" s="109"/>
      <c r="Q22" s="112" t="s">
        <v>558</v>
      </c>
      <c r="R22" s="114"/>
      <c r="S22" s="114"/>
      <c r="T22" s="433">
        <v>339425770</v>
      </c>
      <c r="U22" s="395">
        <v>94.555181912656138</v>
      </c>
    </row>
    <row r="23" spans="1:21" ht="14.25" hidden="1">
      <c r="A23" s="297"/>
      <c r="B23" s="108"/>
      <c r="C23" s="324"/>
      <c r="D23" s="324"/>
      <c r="E23" s="325"/>
      <c r="F23" s="114"/>
      <c r="G23" s="114"/>
      <c r="H23" s="111"/>
      <c r="I23" s="286"/>
      <c r="J23" s="107"/>
      <c r="K23" s="108"/>
      <c r="L23" s="108"/>
      <c r="M23" s="108"/>
      <c r="N23" s="108"/>
      <c r="O23" s="109"/>
      <c r="P23" s="109"/>
      <c r="Q23" s="112"/>
      <c r="R23" s="114"/>
      <c r="S23" s="114"/>
      <c r="T23" s="433"/>
      <c r="U23" s="395"/>
    </row>
    <row r="24" spans="1:21" ht="14.25">
      <c r="A24" s="297"/>
      <c r="B24" s="108"/>
      <c r="C24" s="324" t="s">
        <v>506</v>
      </c>
      <c r="D24" s="324"/>
      <c r="E24" s="325"/>
      <c r="F24" s="114" t="s">
        <v>507</v>
      </c>
      <c r="G24" s="114"/>
      <c r="H24" s="111">
        <v>2148997</v>
      </c>
      <c r="I24" s="286">
        <v>0.59865461088812522</v>
      </c>
      <c r="J24" s="107"/>
      <c r="K24" s="108"/>
      <c r="L24" s="108" t="s">
        <v>557</v>
      </c>
      <c r="M24" s="108"/>
      <c r="N24" s="108"/>
      <c r="O24" s="109"/>
      <c r="P24" s="109"/>
      <c r="Q24" s="112" t="s">
        <v>559</v>
      </c>
      <c r="R24" s="114"/>
      <c r="S24" s="114"/>
      <c r="T24" s="433">
        <v>339425770</v>
      </c>
      <c r="U24" s="395">
        <v>94.555181912656138</v>
      </c>
    </row>
    <row r="25" spans="1:21" ht="14.25" hidden="1">
      <c r="A25" s="297"/>
      <c r="B25" s="108"/>
      <c r="C25" s="324"/>
      <c r="D25" s="324"/>
      <c r="E25" s="325"/>
      <c r="F25" s="114"/>
      <c r="G25" s="114"/>
      <c r="H25" s="111"/>
      <c r="I25" s="286"/>
      <c r="J25" s="107"/>
      <c r="K25" s="108"/>
      <c r="L25" s="108"/>
      <c r="M25" s="108"/>
      <c r="N25" s="108"/>
      <c r="O25" s="109"/>
      <c r="P25" s="109"/>
      <c r="Q25" s="112"/>
      <c r="R25" s="114"/>
      <c r="S25" s="114"/>
      <c r="T25" s="433"/>
      <c r="U25" s="395"/>
    </row>
    <row r="26" spans="1:21" ht="14.25">
      <c r="A26" s="297"/>
      <c r="B26" s="108"/>
      <c r="C26" s="324"/>
      <c r="D26" s="324" t="s">
        <v>479</v>
      </c>
      <c r="E26" s="325"/>
      <c r="F26" s="114" t="s">
        <v>508</v>
      </c>
      <c r="G26" s="114"/>
      <c r="H26" s="111">
        <v>2148997</v>
      </c>
      <c r="I26" s="286">
        <v>0.59865461088812522</v>
      </c>
      <c r="J26" s="107"/>
      <c r="K26" s="108"/>
      <c r="L26" s="108"/>
      <c r="M26" s="108" t="s">
        <v>557</v>
      </c>
      <c r="N26" s="108"/>
      <c r="O26" s="109"/>
      <c r="P26" s="109"/>
      <c r="Q26" s="112" t="s">
        <v>560</v>
      </c>
      <c r="R26" s="114"/>
      <c r="S26" s="114"/>
      <c r="T26" s="433">
        <v>339425770</v>
      </c>
      <c r="U26" s="395">
        <v>94.555181912656138</v>
      </c>
    </row>
    <row r="27" spans="1:21" ht="14.25">
      <c r="A27" s="297"/>
      <c r="B27" s="108" t="s">
        <v>509</v>
      </c>
      <c r="C27" s="324"/>
      <c r="D27" s="324"/>
      <c r="E27" s="325"/>
      <c r="F27" s="114" t="s">
        <v>510</v>
      </c>
      <c r="G27" s="114"/>
      <c r="H27" s="111">
        <v>330938834</v>
      </c>
      <c r="I27" s="286">
        <v>92.190942516922945</v>
      </c>
      <c r="J27" s="107"/>
      <c r="K27" s="108"/>
      <c r="L27" s="108"/>
      <c r="M27" s="108"/>
      <c r="N27" s="108" t="s">
        <v>561</v>
      </c>
      <c r="O27" s="109"/>
      <c r="P27" s="109"/>
      <c r="Q27" s="112" t="s">
        <v>562</v>
      </c>
      <c r="R27" s="114"/>
      <c r="S27" s="114"/>
      <c r="T27" s="433">
        <v>343110363</v>
      </c>
      <c r="U27" s="395">
        <v>95.581613586919104</v>
      </c>
    </row>
    <row r="28" spans="1:21" ht="14.25" hidden="1">
      <c r="A28" s="297"/>
      <c r="B28" s="108"/>
      <c r="C28" s="324"/>
      <c r="D28" s="324"/>
      <c r="E28" s="325"/>
      <c r="F28" s="114"/>
      <c r="G28" s="114"/>
      <c r="H28" s="111"/>
      <c r="I28" s="286"/>
      <c r="J28" s="107"/>
      <c r="K28" s="108"/>
      <c r="L28" s="108"/>
      <c r="M28" s="108"/>
      <c r="N28" s="108"/>
      <c r="O28" s="109"/>
      <c r="P28" s="109"/>
      <c r="Q28" s="112"/>
      <c r="R28" s="114"/>
      <c r="S28" s="114"/>
      <c r="T28" s="433"/>
      <c r="U28" s="395"/>
    </row>
    <row r="29" spans="1:21" ht="14.25">
      <c r="A29" s="297"/>
      <c r="B29" s="108"/>
      <c r="C29" s="324" t="s">
        <v>44</v>
      </c>
      <c r="D29" s="324"/>
      <c r="E29" s="325"/>
      <c r="F29" s="114" t="s">
        <v>511</v>
      </c>
      <c r="G29" s="114"/>
      <c r="H29" s="111">
        <v>169277745</v>
      </c>
      <c r="I29" s="286">
        <v>47.156372282043343</v>
      </c>
      <c r="J29" s="107"/>
      <c r="K29" s="108"/>
      <c r="L29" s="108"/>
      <c r="M29" s="108"/>
      <c r="N29" s="108" t="s">
        <v>563</v>
      </c>
      <c r="O29" s="109"/>
      <c r="P29" s="109"/>
      <c r="Q29" s="112" t="s">
        <v>564</v>
      </c>
      <c r="R29" s="114"/>
      <c r="S29" s="114"/>
      <c r="T29" s="433">
        <v>-3684593</v>
      </c>
      <c r="U29" s="395">
        <v>-1.0264316742629744</v>
      </c>
    </row>
    <row r="30" spans="1:21" ht="14.25">
      <c r="A30" s="297"/>
      <c r="B30" s="108"/>
      <c r="C30" s="324"/>
      <c r="D30" s="324" t="s">
        <v>44</v>
      </c>
      <c r="E30" s="325"/>
      <c r="F30" s="114" t="s">
        <v>512</v>
      </c>
      <c r="G30" s="114"/>
      <c r="H30" s="111">
        <v>169277745</v>
      </c>
      <c r="I30" s="286">
        <v>47.156372282043343</v>
      </c>
      <c r="J30" s="107"/>
      <c r="K30" s="108"/>
      <c r="L30" s="108"/>
      <c r="M30" s="108"/>
      <c r="N30" s="108" t="s">
        <v>565</v>
      </c>
      <c r="O30" s="109"/>
      <c r="P30" s="109"/>
      <c r="Q30" s="112" t="s">
        <v>566</v>
      </c>
      <c r="R30" s="114"/>
      <c r="S30" s="114"/>
      <c r="T30" s="433"/>
      <c r="U30" s="395"/>
    </row>
    <row r="31" spans="1:21" ht="14.25">
      <c r="A31" s="297"/>
      <c r="B31" s="108"/>
      <c r="C31" s="324" t="s">
        <v>45</v>
      </c>
      <c r="D31" s="324"/>
      <c r="E31" s="325"/>
      <c r="F31" s="114" t="s">
        <v>513</v>
      </c>
      <c r="G31" s="114"/>
      <c r="H31" s="111">
        <v>13755997</v>
      </c>
      <c r="I31" s="286">
        <v>3.8320626000935403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3"/>
      <c r="U31" s="395"/>
    </row>
    <row r="32" spans="1:21" ht="14.25" hidden="1">
      <c r="A32" s="297"/>
      <c r="B32" s="108"/>
      <c r="C32" s="324"/>
      <c r="D32" s="324"/>
      <c r="E32" s="325"/>
      <c r="F32" s="114"/>
      <c r="G32" s="114"/>
      <c r="H32" s="111"/>
      <c r="I32" s="286"/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3"/>
      <c r="U32" s="395"/>
    </row>
    <row r="33" spans="1:21" ht="14.25">
      <c r="A33" s="297"/>
      <c r="B33" s="108"/>
      <c r="C33" s="108"/>
      <c r="D33" s="108" t="s">
        <v>45</v>
      </c>
      <c r="E33" s="109"/>
      <c r="F33" s="114" t="s">
        <v>514</v>
      </c>
      <c r="G33" s="114"/>
      <c r="H33" s="111">
        <v>27169487</v>
      </c>
      <c r="I33" s="286">
        <v>7.5687116678222335</v>
      </c>
      <c r="J33" s="107"/>
      <c r="K33" s="108" t="s">
        <v>538</v>
      </c>
      <c r="L33" s="108"/>
      <c r="M33" s="108"/>
      <c r="N33" s="108"/>
      <c r="O33" s="109"/>
      <c r="P33" s="109"/>
      <c r="Q33" s="112"/>
      <c r="R33" s="114"/>
      <c r="S33" s="114"/>
      <c r="T33" s="433">
        <v>358971093</v>
      </c>
      <c r="U33" s="395"/>
    </row>
    <row r="34" spans="1:21" ht="14.25">
      <c r="A34" s="297"/>
      <c r="B34" s="108"/>
      <c r="C34" s="108"/>
      <c r="D34" s="108" t="s">
        <v>515</v>
      </c>
      <c r="E34" s="109"/>
      <c r="F34" s="114" t="s">
        <v>516</v>
      </c>
      <c r="G34" s="114"/>
      <c r="H34" s="111">
        <v>-13413490</v>
      </c>
      <c r="I34" s="286">
        <v>-3.7366490677286932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3"/>
      <c r="U34" s="395"/>
    </row>
    <row r="35" spans="1:21" ht="14.25">
      <c r="A35" s="297"/>
      <c r="B35" s="108"/>
      <c r="C35" s="108" t="s">
        <v>517</v>
      </c>
      <c r="D35" s="108"/>
      <c r="E35" s="109"/>
      <c r="F35" s="114" t="s">
        <v>518</v>
      </c>
      <c r="G35" s="114"/>
      <c r="H35" s="111">
        <v>127425409</v>
      </c>
      <c r="I35" s="286">
        <v>35.497401179320029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3"/>
      <c r="U35" s="395"/>
    </row>
    <row r="36" spans="1:21" ht="14.25">
      <c r="A36" s="297"/>
      <c r="B36" s="108"/>
      <c r="C36" s="108"/>
      <c r="D36" s="108" t="s">
        <v>517</v>
      </c>
      <c r="E36" s="109"/>
      <c r="F36" s="114" t="s">
        <v>519</v>
      </c>
      <c r="G36" s="114"/>
      <c r="H36" s="111">
        <v>256848064</v>
      </c>
      <c r="I36" s="286">
        <v>71.551183092060285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3"/>
      <c r="U36" s="395"/>
    </row>
    <row r="37" spans="1:21" ht="14.25">
      <c r="A37" s="297"/>
      <c r="B37" s="108"/>
      <c r="C37" s="108"/>
      <c r="D37" s="108" t="s">
        <v>520</v>
      </c>
      <c r="E37" s="109"/>
      <c r="F37" s="114" t="s">
        <v>521</v>
      </c>
      <c r="G37" s="114"/>
      <c r="H37" s="111">
        <v>-129422655</v>
      </c>
      <c r="I37" s="286">
        <v>-36.053781912740256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3"/>
      <c r="U37" s="395"/>
    </row>
    <row r="38" spans="1:21" ht="14.25" hidden="1">
      <c r="A38" s="297"/>
      <c r="B38" s="108"/>
      <c r="C38" s="108"/>
      <c r="D38" s="108"/>
      <c r="E38" s="109"/>
      <c r="F38" s="114"/>
      <c r="G38" s="114"/>
      <c r="H38" s="111"/>
      <c r="I38" s="286"/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3"/>
      <c r="U38" s="395"/>
    </row>
    <row r="39" spans="1:21" ht="14.25">
      <c r="A39" s="297"/>
      <c r="B39" s="108"/>
      <c r="C39" s="108" t="s">
        <v>47</v>
      </c>
      <c r="D39" s="108"/>
      <c r="E39" s="109"/>
      <c r="F39" s="114" t="s">
        <v>522</v>
      </c>
      <c r="G39" s="114"/>
      <c r="H39" s="111">
        <v>4916529</v>
      </c>
      <c r="I39" s="286">
        <v>1.3696169680158619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3"/>
      <c r="U39" s="395"/>
    </row>
    <row r="40" spans="1:21" ht="14.25">
      <c r="A40" s="297"/>
      <c r="B40" s="108"/>
      <c r="C40" s="108"/>
      <c r="D40" s="108" t="s">
        <v>47</v>
      </c>
      <c r="E40" s="109"/>
      <c r="F40" s="114" t="s">
        <v>523</v>
      </c>
      <c r="G40" s="114"/>
      <c r="H40" s="111">
        <v>16974450</v>
      </c>
      <c r="I40" s="286">
        <v>4.7286398072170117</v>
      </c>
      <c r="J40" s="107"/>
      <c r="K40" s="108"/>
      <c r="L40" s="108"/>
      <c r="M40" s="108"/>
      <c r="N40" s="108"/>
      <c r="O40" s="109"/>
      <c r="P40" s="109"/>
      <c r="Q40" s="112"/>
      <c r="R40" s="114"/>
      <c r="S40" s="114"/>
      <c r="T40" s="433"/>
      <c r="U40" s="395"/>
    </row>
    <row r="41" spans="1:21" ht="14.25">
      <c r="A41" s="297"/>
      <c r="B41" s="108"/>
      <c r="C41" s="108"/>
      <c r="D41" s="108" t="s">
        <v>524</v>
      </c>
      <c r="E41" s="109"/>
      <c r="F41" s="114" t="s">
        <v>525</v>
      </c>
      <c r="G41" s="114"/>
      <c r="H41" s="111">
        <v>-12057921</v>
      </c>
      <c r="I41" s="286">
        <v>-3.3590228392011499</v>
      </c>
      <c r="J41" s="107"/>
      <c r="K41" s="108"/>
      <c r="L41" s="108"/>
      <c r="M41" s="108"/>
      <c r="N41" s="108"/>
      <c r="O41" s="109"/>
      <c r="P41" s="109"/>
      <c r="Q41" s="112"/>
      <c r="R41" s="114"/>
      <c r="S41" s="114"/>
      <c r="T41" s="433"/>
      <c r="U41" s="395"/>
    </row>
    <row r="42" spans="1:21" ht="14.25">
      <c r="A42" s="297"/>
      <c r="B42" s="108"/>
      <c r="C42" s="108" t="s">
        <v>48</v>
      </c>
      <c r="D42" s="108"/>
      <c r="E42" s="109"/>
      <c r="F42" s="114" t="s">
        <v>526</v>
      </c>
      <c r="G42" s="114"/>
      <c r="H42" s="111">
        <v>1037631</v>
      </c>
      <c r="I42" s="286">
        <v>0.28905697986104978</v>
      </c>
      <c r="J42" s="107"/>
      <c r="K42" s="108"/>
      <c r="L42" s="108"/>
      <c r="M42" s="108"/>
      <c r="N42" s="108"/>
      <c r="O42" s="109"/>
      <c r="P42" s="109"/>
      <c r="Q42" s="112"/>
      <c r="R42" s="114"/>
      <c r="S42" s="114"/>
      <c r="T42" s="433"/>
      <c r="U42" s="395"/>
    </row>
    <row r="43" spans="1:21" ht="14.25">
      <c r="A43" s="297"/>
      <c r="B43" s="108"/>
      <c r="C43" s="108"/>
      <c r="D43" s="108" t="s">
        <v>48</v>
      </c>
      <c r="E43" s="109"/>
      <c r="F43" s="114" t="s">
        <v>527</v>
      </c>
      <c r="G43" s="114"/>
      <c r="H43" s="111">
        <v>4266837</v>
      </c>
      <c r="I43" s="286">
        <v>1.1886296928092759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3"/>
      <c r="U43" s="395"/>
    </row>
    <row r="44" spans="1:21" ht="14.25">
      <c r="A44" s="297"/>
      <c r="B44" s="108"/>
      <c r="C44" s="108"/>
      <c r="D44" s="108" t="s">
        <v>528</v>
      </c>
      <c r="E44" s="109"/>
      <c r="F44" s="114" t="s">
        <v>529</v>
      </c>
      <c r="G44" s="114"/>
      <c r="H44" s="111">
        <v>-3229206</v>
      </c>
      <c r="I44" s="286">
        <v>-0.89957271294822616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3"/>
      <c r="U44" s="395"/>
    </row>
    <row r="45" spans="1:21" ht="14.25" hidden="1">
      <c r="A45" s="297"/>
      <c r="B45" s="108"/>
      <c r="C45" s="108"/>
      <c r="D45" s="108"/>
      <c r="E45" s="109"/>
      <c r="F45" s="114"/>
      <c r="G45" s="114"/>
      <c r="H45" s="111"/>
      <c r="I45" s="286"/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3"/>
      <c r="U45" s="395"/>
    </row>
    <row r="46" spans="1:21" ht="14.25">
      <c r="A46" s="557"/>
      <c r="B46" s="558"/>
      <c r="C46" s="558" t="s">
        <v>196</v>
      </c>
      <c r="D46" s="558"/>
      <c r="E46" s="559"/>
      <c r="F46" s="560" t="s">
        <v>530</v>
      </c>
      <c r="G46" s="560"/>
      <c r="H46" s="561">
        <v>14525523</v>
      </c>
      <c r="I46" s="562">
        <v>4.0464325075891274</v>
      </c>
      <c r="J46" s="119"/>
      <c r="K46" s="558"/>
      <c r="L46" s="558"/>
      <c r="M46" s="558"/>
      <c r="N46" s="558"/>
      <c r="O46" s="559"/>
      <c r="P46" s="559"/>
      <c r="Q46" s="563"/>
      <c r="R46" s="560"/>
      <c r="S46" s="560"/>
      <c r="T46" s="564"/>
      <c r="U46" s="565"/>
    </row>
    <row r="47" spans="1:21" ht="14.25">
      <c r="A47" s="101"/>
      <c r="B47" s="102"/>
      <c r="C47" s="102"/>
      <c r="D47" s="102" t="s">
        <v>196</v>
      </c>
      <c r="E47" s="103"/>
      <c r="F47" s="104" t="s">
        <v>531</v>
      </c>
      <c r="G47" s="104"/>
      <c r="H47" s="105">
        <v>40879493</v>
      </c>
      <c r="I47" s="285">
        <v>11.387962372780807</v>
      </c>
      <c r="J47" s="366"/>
      <c r="K47" s="102"/>
      <c r="L47" s="102"/>
      <c r="M47" s="102"/>
      <c r="N47" s="102"/>
      <c r="O47" s="103"/>
      <c r="P47" s="103"/>
      <c r="Q47" s="106"/>
      <c r="R47" s="104"/>
      <c r="S47" s="104"/>
      <c r="T47" s="566"/>
      <c r="U47" s="394"/>
    </row>
    <row r="48" spans="1:21" ht="14.25">
      <c r="A48" s="297"/>
      <c r="B48" s="108"/>
      <c r="C48" s="108"/>
      <c r="D48" s="108" t="s">
        <v>532</v>
      </c>
      <c r="E48" s="109"/>
      <c r="F48" s="114" t="s">
        <v>533</v>
      </c>
      <c r="G48" s="114"/>
      <c r="H48" s="111">
        <v>-26353970</v>
      </c>
      <c r="I48" s="286">
        <v>-7.3415298651916796</v>
      </c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3"/>
      <c r="U48" s="395"/>
    </row>
    <row r="49" spans="1:21" ht="14.25" hidden="1">
      <c r="A49" s="297"/>
      <c r="B49" s="108"/>
      <c r="C49" s="108"/>
      <c r="D49" s="108"/>
      <c r="E49" s="109"/>
      <c r="F49" s="114"/>
      <c r="G49" s="114"/>
      <c r="H49" s="111"/>
      <c r="I49" s="286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3"/>
      <c r="U49" s="395"/>
    </row>
    <row r="50" spans="1:21" ht="14.25">
      <c r="A50" s="297"/>
      <c r="B50" s="108" t="s">
        <v>534</v>
      </c>
      <c r="C50" s="108"/>
      <c r="D50" s="108"/>
      <c r="E50" s="109"/>
      <c r="F50" s="114" t="s">
        <v>535</v>
      </c>
      <c r="G50" s="114"/>
      <c r="H50" s="111">
        <v>226131</v>
      </c>
      <c r="I50" s="286">
        <v>6.2994208840097321E-2</v>
      </c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3"/>
      <c r="U50" s="395"/>
    </row>
    <row r="51" spans="1:21" ht="14.25">
      <c r="A51" s="297"/>
      <c r="B51" s="108"/>
      <c r="C51" s="108" t="s">
        <v>534</v>
      </c>
      <c r="D51" s="108"/>
      <c r="E51" s="109"/>
      <c r="F51" s="114" t="s">
        <v>536</v>
      </c>
      <c r="G51" s="114"/>
      <c r="H51" s="111">
        <v>226131</v>
      </c>
      <c r="I51" s="286">
        <v>6.2994208840097321E-2</v>
      </c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3"/>
      <c r="U51" s="395"/>
    </row>
    <row r="52" spans="1:21" ht="14.25">
      <c r="A52" s="297"/>
      <c r="B52" s="108"/>
      <c r="C52" s="108"/>
      <c r="D52" s="108" t="s">
        <v>434</v>
      </c>
      <c r="E52" s="109"/>
      <c r="F52" s="114" t="s">
        <v>537</v>
      </c>
      <c r="G52" s="114"/>
      <c r="H52" s="111">
        <v>226131</v>
      </c>
      <c r="I52" s="286">
        <v>6.2994208840097321E-2</v>
      </c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3"/>
      <c r="U52" s="395"/>
    </row>
    <row r="53" spans="1:21" ht="14.25">
      <c r="A53" s="297" t="s">
        <v>538</v>
      </c>
      <c r="B53" s="108"/>
      <c r="C53" s="108"/>
      <c r="D53" s="108"/>
      <c r="E53" s="109"/>
      <c r="F53" s="114"/>
      <c r="G53" s="114"/>
      <c r="H53" s="111">
        <v>358971093</v>
      </c>
      <c r="I53" s="286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3"/>
      <c r="U53" s="395"/>
    </row>
    <row r="54" spans="1:21" ht="11.65" hidden="1" customHeight="1">
      <c r="A54" s="297"/>
      <c r="B54" s="108"/>
      <c r="C54" s="108"/>
      <c r="D54" s="108"/>
      <c r="E54" s="109"/>
      <c r="F54" s="114"/>
      <c r="G54" s="114"/>
      <c r="H54" s="111"/>
      <c r="I54" s="286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3"/>
      <c r="U54" s="395"/>
    </row>
    <row r="55" spans="1:21" ht="11.65" hidden="1" customHeight="1">
      <c r="A55" s="297"/>
      <c r="B55" s="108"/>
      <c r="C55" s="108"/>
      <c r="D55" s="108"/>
      <c r="E55" s="109"/>
      <c r="F55" s="114"/>
      <c r="G55" s="114"/>
      <c r="H55" s="111"/>
      <c r="I55" s="286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3"/>
      <c r="U55" s="395"/>
    </row>
    <row r="56" spans="1:21" ht="11.65" hidden="1" customHeight="1">
      <c r="A56" s="297"/>
      <c r="B56" s="108"/>
      <c r="C56" s="108"/>
      <c r="D56" s="108"/>
      <c r="E56" s="109"/>
      <c r="F56" s="114"/>
      <c r="G56" s="114"/>
      <c r="H56" s="111"/>
      <c r="I56" s="286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3"/>
      <c r="U56" s="395"/>
    </row>
    <row r="57" spans="1:21" ht="11.65" hidden="1" customHeight="1">
      <c r="A57" s="297"/>
      <c r="B57" s="108"/>
      <c r="C57" s="108"/>
      <c r="D57" s="108"/>
      <c r="E57" s="109"/>
      <c r="F57" s="114"/>
      <c r="G57" s="114"/>
      <c r="H57" s="111"/>
      <c r="I57" s="286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3"/>
      <c r="U57" s="395"/>
    </row>
    <row r="58" spans="1:21" ht="11.65" hidden="1" customHeight="1">
      <c r="A58" s="297"/>
      <c r="B58" s="108"/>
      <c r="C58" s="108"/>
      <c r="D58" s="108"/>
      <c r="E58" s="109"/>
      <c r="F58" s="114"/>
      <c r="G58" s="114"/>
      <c r="H58" s="111"/>
      <c r="I58" s="286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3"/>
      <c r="U58" s="395"/>
    </row>
    <row r="59" spans="1:21" ht="11.65" hidden="1" customHeight="1">
      <c r="A59" s="297"/>
      <c r="B59" s="108"/>
      <c r="C59" s="108"/>
      <c r="D59" s="108"/>
      <c r="E59" s="109"/>
      <c r="F59" s="114"/>
      <c r="G59" s="114"/>
      <c r="H59" s="111"/>
      <c r="I59" s="286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3"/>
      <c r="U59" s="395"/>
    </row>
    <row r="60" spans="1:21" ht="11.65" hidden="1" customHeight="1">
      <c r="A60" s="297"/>
      <c r="B60" s="108"/>
      <c r="C60" s="108"/>
      <c r="D60" s="108"/>
      <c r="E60" s="109"/>
      <c r="F60" s="114"/>
      <c r="G60" s="114"/>
      <c r="H60" s="111"/>
      <c r="I60" s="286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3"/>
      <c r="U60" s="395"/>
    </row>
    <row r="61" spans="1:21" ht="11.65" customHeight="1">
      <c r="A61" s="297"/>
      <c r="B61" s="108"/>
      <c r="C61" s="108"/>
      <c r="D61" s="108"/>
      <c r="E61" s="109"/>
      <c r="F61" s="114"/>
      <c r="G61" s="114"/>
      <c r="H61" s="111"/>
      <c r="I61" s="286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3"/>
      <c r="U61" s="395"/>
    </row>
    <row r="62" spans="1:21" ht="11.65" customHeight="1">
      <c r="A62" s="297"/>
      <c r="B62" s="108"/>
      <c r="C62" s="108"/>
      <c r="D62" s="108"/>
      <c r="E62" s="109"/>
      <c r="F62" s="114"/>
      <c r="G62" s="114"/>
      <c r="H62" s="111"/>
      <c r="I62" s="286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3"/>
      <c r="U62" s="395"/>
    </row>
    <row r="63" spans="1:21" ht="11.65" customHeight="1">
      <c r="A63" s="297"/>
      <c r="B63" s="108"/>
      <c r="C63" s="108"/>
      <c r="D63" s="108"/>
      <c r="E63" s="109"/>
      <c r="F63" s="114"/>
      <c r="G63" s="114"/>
      <c r="H63" s="111"/>
      <c r="I63" s="286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3"/>
      <c r="U63" s="395"/>
    </row>
    <row r="64" spans="1:21" ht="11.65" customHeight="1">
      <c r="A64" s="297"/>
      <c r="B64" s="108"/>
      <c r="C64" s="108"/>
      <c r="D64" s="108"/>
      <c r="E64" s="109"/>
      <c r="F64" s="114"/>
      <c r="G64" s="114"/>
      <c r="H64" s="111"/>
      <c r="I64" s="286"/>
      <c r="J64" s="107"/>
      <c r="K64" s="108"/>
      <c r="L64" s="108"/>
      <c r="M64" s="108"/>
      <c r="N64" s="108"/>
      <c r="O64" s="109"/>
      <c r="P64" s="109"/>
      <c r="Q64" s="112"/>
      <c r="R64" s="114"/>
      <c r="S64" s="114"/>
      <c r="T64" s="433"/>
      <c r="U64" s="395"/>
    </row>
    <row r="65" spans="1:21" ht="11.65" customHeight="1">
      <c r="A65" s="297"/>
      <c r="B65" s="108"/>
      <c r="C65" s="108"/>
      <c r="D65" s="108"/>
      <c r="E65" s="109"/>
      <c r="F65" s="114"/>
      <c r="G65" s="114"/>
      <c r="H65" s="111"/>
      <c r="I65" s="286"/>
      <c r="J65" s="107"/>
      <c r="K65" s="108"/>
      <c r="L65" s="108"/>
      <c r="M65" s="108"/>
      <c r="N65" s="108"/>
      <c r="O65" s="109"/>
      <c r="P65" s="109"/>
      <c r="Q65" s="112"/>
      <c r="R65" s="114"/>
      <c r="S65" s="114"/>
      <c r="T65" s="433"/>
      <c r="U65" s="395"/>
    </row>
    <row r="66" spans="1:21" ht="11.65" customHeight="1">
      <c r="A66" s="297"/>
      <c r="B66" s="108"/>
      <c r="C66" s="108"/>
      <c r="D66" s="108"/>
      <c r="E66" s="109"/>
      <c r="F66" s="114"/>
      <c r="G66" s="114"/>
      <c r="H66" s="111"/>
      <c r="I66" s="286"/>
      <c r="J66" s="107"/>
      <c r="K66" s="108"/>
      <c r="L66" s="108"/>
      <c r="M66" s="108"/>
      <c r="N66" s="108"/>
      <c r="O66" s="109"/>
      <c r="P66" s="109"/>
      <c r="Q66" s="112"/>
      <c r="R66" s="114"/>
      <c r="S66" s="114"/>
      <c r="T66" s="433"/>
      <c r="U66" s="395"/>
    </row>
    <row r="67" spans="1:21" ht="11.65" customHeight="1">
      <c r="A67" s="297"/>
      <c r="B67" s="108"/>
      <c r="C67" s="108"/>
      <c r="D67" s="108"/>
      <c r="E67" s="109"/>
      <c r="F67" s="114"/>
      <c r="G67" s="114"/>
      <c r="H67" s="111"/>
      <c r="I67" s="286"/>
      <c r="J67" s="107"/>
      <c r="K67" s="108"/>
      <c r="L67" s="108"/>
      <c r="M67" s="108"/>
      <c r="N67" s="108"/>
      <c r="O67" s="109"/>
      <c r="P67" s="109"/>
      <c r="Q67" s="112"/>
      <c r="R67" s="114"/>
      <c r="S67" s="114"/>
      <c r="T67" s="433"/>
      <c r="U67" s="395"/>
    </row>
    <row r="68" spans="1:21" ht="11.65" customHeight="1">
      <c r="A68" s="297"/>
      <c r="B68" s="108"/>
      <c r="C68" s="108"/>
      <c r="D68" s="108"/>
      <c r="E68" s="109"/>
      <c r="F68" s="114"/>
      <c r="G68" s="114"/>
      <c r="H68" s="111"/>
      <c r="I68" s="286"/>
      <c r="J68" s="107"/>
      <c r="K68" s="108"/>
      <c r="L68" s="108"/>
      <c r="M68" s="108"/>
      <c r="N68" s="108"/>
      <c r="O68" s="109"/>
      <c r="P68" s="109"/>
      <c r="Q68" s="112"/>
      <c r="R68" s="114"/>
      <c r="S68" s="114"/>
      <c r="T68" s="433"/>
      <c r="U68" s="395"/>
    </row>
    <row r="69" spans="1:21" ht="11.65" customHeight="1">
      <c r="A69" s="297"/>
      <c r="B69" s="108"/>
      <c r="C69" s="108"/>
      <c r="D69" s="108"/>
      <c r="E69" s="109"/>
      <c r="F69" s="114"/>
      <c r="G69" s="114"/>
      <c r="H69" s="111"/>
      <c r="I69" s="286"/>
      <c r="J69" s="107"/>
      <c r="K69" s="108"/>
      <c r="L69" s="108"/>
      <c r="M69" s="108"/>
      <c r="N69" s="108"/>
      <c r="O69" s="109"/>
      <c r="P69" s="109"/>
      <c r="Q69" s="112"/>
      <c r="R69" s="114"/>
      <c r="S69" s="114"/>
      <c r="T69" s="433"/>
      <c r="U69" s="395"/>
    </row>
    <row r="70" spans="1:21" ht="11.65" customHeight="1">
      <c r="A70" s="297"/>
      <c r="B70" s="108"/>
      <c r="C70" s="108"/>
      <c r="D70" s="108"/>
      <c r="E70" s="109"/>
      <c r="F70" s="114"/>
      <c r="G70" s="114"/>
      <c r="H70" s="111"/>
      <c r="I70" s="286"/>
      <c r="J70" s="107"/>
      <c r="K70" s="108"/>
      <c r="L70" s="108"/>
      <c r="M70" s="108"/>
      <c r="N70" s="108"/>
      <c r="O70" s="109"/>
      <c r="P70" s="109"/>
      <c r="Q70" s="112"/>
      <c r="R70" s="114"/>
      <c r="S70" s="114"/>
      <c r="T70" s="433"/>
      <c r="U70" s="395"/>
    </row>
    <row r="71" spans="1:21" ht="11.65" customHeight="1">
      <c r="A71" s="107"/>
      <c r="B71" s="108"/>
      <c r="C71" s="108"/>
      <c r="D71" s="108"/>
      <c r="E71" s="109"/>
      <c r="F71" s="110"/>
      <c r="G71" s="110"/>
      <c r="H71" s="111"/>
      <c r="I71" s="286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3"/>
      <c r="U71" s="395"/>
    </row>
    <row r="72" spans="1:21" ht="11.65" customHeight="1">
      <c r="A72" s="107"/>
      <c r="B72" s="108"/>
      <c r="C72" s="108"/>
      <c r="D72" s="108"/>
      <c r="E72" s="109"/>
      <c r="F72" s="110"/>
      <c r="G72" s="110"/>
      <c r="H72" s="111"/>
      <c r="I72" s="286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3"/>
      <c r="U72" s="395"/>
    </row>
    <row r="73" spans="1:21" ht="11.65" customHeight="1">
      <c r="A73" s="107"/>
      <c r="B73" s="108"/>
      <c r="C73" s="108"/>
      <c r="D73" s="108"/>
      <c r="E73" s="109"/>
      <c r="F73" s="110"/>
      <c r="G73" s="110"/>
      <c r="H73" s="111"/>
      <c r="I73" s="286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3"/>
      <c r="U73" s="395"/>
    </row>
    <row r="74" spans="1:21" ht="11.65" customHeight="1">
      <c r="A74" s="107"/>
      <c r="B74" s="108"/>
      <c r="C74" s="108"/>
      <c r="D74" s="108"/>
      <c r="E74" s="109"/>
      <c r="F74" s="110"/>
      <c r="G74" s="110"/>
      <c r="H74" s="111"/>
      <c r="I74" s="286"/>
      <c r="J74" s="107"/>
      <c r="K74" s="113"/>
      <c r="L74" s="108"/>
      <c r="M74" s="108"/>
      <c r="N74" s="108"/>
      <c r="O74" s="109"/>
      <c r="P74" s="109"/>
      <c r="Q74" s="112"/>
      <c r="R74" s="114"/>
      <c r="S74" s="114"/>
      <c r="T74" s="433"/>
      <c r="U74" s="395"/>
    </row>
    <row r="75" spans="1:21" ht="11.65" customHeight="1">
      <c r="A75" s="107"/>
      <c r="B75" s="108"/>
      <c r="C75" s="108"/>
      <c r="D75" s="108"/>
      <c r="E75" s="109"/>
      <c r="F75" s="110"/>
      <c r="G75" s="110"/>
      <c r="H75" s="111"/>
      <c r="I75" s="286"/>
      <c r="J75" s="107"/>
      <c r="K75" s="113"/>
      <c r="L75" s="108"/>
      <c r="M75" s="108"/>
      <c r="N75" s="108"/>
      <c r="O75" s="109"/>
      <c r="P75" s="109"/>
      <c r="Q75" s="112"/>
      <c r="R75" s="114"/>
      <c r="S75" s="114"/>
      <c r="T75" s="433"/>
      <c r="U75" s="395"/>
    </row>
    <row r="76" spans="1:21" ht="11.65" customHeight="1">
      <c r="A76" s="107"/>
      <c r="B76" s="108"/>
      <c r="C76" s="108"/>
      <c r="D76" s="108"/>
      <c r="E76" s="109"/>
      <c r="F76" s="110"/>
      <c r="G76" s="110"/>
      <c r="H76" s="111"/>
      <c r="I76" s="286"/>
      <c r="J76" s="107"/>
      <c r="K76" s="113"/>
      <c r="L76" s="108"/>
      <c r="M76" s="108"/>
      <c r="N76" s="108"/>
      <c r="O76" s="109"/>
      <c r="P76" s="109"/>
      <c r="Q76" s="112"/>
      <c r="R76" s="114"/>
      <c r="S76" s="114"/>
      <c r="T76" s="433"/>
      <c r="U76" s="395"/>
    </row>
    <row r="77" spans="1:21" ht="11.65" customHeight="1">
      <c r="A77" s="107"/>
      <c r="B77" s="108"/>
      <c r="C77" s="108"/>
      <c r="D77" s="108"/>
      <c r="E77" s="109"/>
      <c r="F77" s="110"/>
      <c r="G77" s="110"/>
      <c r="H77" s="111"/>
      <c r="I77" s="286"/>
      <c r="J77" s="107"/>
      <c r="K77" s="113"/>
      <c r="L77" s="108"/>
      <c r="M77" s="108"/>
      <c r="N77" s="108"/>
      <c r="O77" s="109"/>
      <c r="P77" s="109"/>
      <c r="Q77" s="112"/>
      <c r="R77" s="114"/>
      <c r="S77" s="114"/>
      <c r="T77" s="433"/>
      <c r="U77" s="395"/>
    </row>
    <row r="78" spans="1:21" ht="11.65" customHeight="1">
      <c r="A78" s="107"/>
      <c r="B78" s="108"/>
      <c r="C78" s="108"/>
      <c r="D78" s="108"/>
      <c r="E78" s="109"/>
      <c r="F78" s="110"/>
      <c r="G78" s="110"/>
      <c r="H78" s="111"/>
      <c r="I78" s="286"/>
      <c r="J78" s="107"/>
      <c r="K78" s="113"/>
      <c r="L78" s="108"/>
      <c r="M78" s="108"/>
      <c r="N78" s="108"/>
      <c r="O78" s="109"/>
      <c r="P78" s="109"/>
      <c r="Q78" s="112"/>
      <c r="R78" s="114"/>
      <c r="S78" s="114"/>
      <c r="T78" s="433"/>
      <c r="U78" s="395"/>
    </row>
    <row r="79" spans="1:21" ht="11.65" customHeight="1">
      <c r="A79" s="107"/>
      <c r="B79" s="108"/>
      <c r="C79" s="108"/>
      <c r="D79" s="108"/>
      <c r="E79" s="109"/>
      <c r="F79" s="110"/>
      <c r="G79" s="110"/>
      <c r="H79" s="111"/>
      <c r="I79" s="286"/>
      <c r="J79" s="107"/>
      <c r="K79" s="113"/>
      <c r="L79" s="108"/>
      <c r="M79" s="108"/>
      <c r="N79" s="108"/>
      <c r="O79" s="109"/>
      <c r="P79" s="109"/>
      <c r="Q79" s="112"/>
      <c r="R79" s="114"/>
      <c r="S79" s="114"/>
      <c r="T79" s="433"/>
      <c r="U79" s="395"/>
    </row>
    <row r="80" spans="1:21" ht="11.65" customHeight="1">
      <c r="A80" s="107"/>
      <c r="B80" s="108"/>
      <c r="C80" s="108"/>
      <c r="D80" s="108"/>
      <c r="E80" s="109"/>
      <c r="F80" s="110"/>
      <c r="G80" s="110"/>
      <c r="H80" s="111"/>
      <c r="I80" s="286"/>
      <c r="J80" s="107"/>
      <c r="K80" s="113"/>
      <c r="L80" s="108"/>
      <c r="M80" s="108"/>
      <c r="N80" s="108"/>
      <c r="O80" s="109"/>
      <c r="P80" s="109"/>
      <c r="Q80" s="112"/>
      <c r="R80" s="114"/>
      <c r="S80" s="114"/>
      <c r="T80" s="433"/>
      <c r="U80" s="395"/>
    </row>
    <row r="81" spans="1:21" ht="11.65" customHeight="1">
      <c r="A81" s="107"/>
      <c r="B81" s="113"/>
      <c r="C81" s="113"/>
      <c r="D81" s="113"/>
      <c r="E81" s="109"/>
      <c r="F81" s="114"/>
      <c r="G81" s="114"/>
      <c r="H81" s="111"/>
      <c r="I81" s="286"/>
      <c r="J81" s="107"/>
      <c r="K81" s="113"/>
      <c r="L81" s="113"/>
      <c r="M81" s="108"/>
      <c r="N81" s="108"/>
      <c r="O81" s="109"/>
      <c r="P81" s="109"/>
      <c r="Q81" s="112"/>
      <c r="R81" s="114"/>
      <c r="S81" s="114"/>
      <c r="T81" s="433"/>
      <c r="U81" s="395"/>
    </row>
    <row r="82" spans="1:21" ht="11.65" customHeight="1">
      <c r="A82" s="107"/>
      <c r="B82" s="113"/>
      <c r="C82" s="113"/>
      <c r="D82" s="108"/>
      <c r="E82" s="109"/>
      <c r="F82" s="114"/>
      <c r="G82" s="114"/>
      <c r="H82" s="111"/>
      <c r="I82" s="286"/>
      <c r="J82" s="107"/>
      <c r="K82" s="113"/>
      <c r="L82" s="113"/>
      <c r="M82" s="113"/>
      <c r="N82" s="108"/>
      <c r="O82" s="109"/>
      <c r="P82" s="109"/>
      <c r="Q82" s="112"/>
      <c r="R82" s="114"/>
      <c r="S82" s="114"/>
      <c r="T82" s="433"/>
      <c r="U82" s="395"/>
    </row>
    <row r="83" spans="1:21" ht="11.65" customHeight="1">
      <c r="A83" s="107"/>
      <c r="B83" s="113"/>
      <c r="C83" s="108"/>
      <c r="D83" s="108"/>
      <c r="E83" s="109"/>
      <c r="F83" s="114"/>
      <c r="G83" s="114"/>
      <c r="H83" s="111"/>
      <c r="I83" s="286"/>
      <c r="J83" s="107"/>
      <c r="K83" s="113"/>
      <c r="L83" s="113"/>
      <c r="M83" s="113"/>
      <c r="N83" s="108"/>
      <c r="O83" s="109"/>
      <c r="P83" s="109"/>
      <c r="Q83" s="112"/>
      <c r="R83" s="114"/>
      <c r="S83" s="114"/>
      <c r="T83" s="433"/>
      <c r="U83" s="395"/>
    </row>
    <row r="84" spans="1:21" ht="11.65" customHeight="1">
      <c r="A84" s="107"/>
      <c r="B84" s="113"/>
      <c r="C84" s="113"/>
      <c r="D84" s="108"/>
      <c r="E84" s="109"/>
      <c r="F84" s="114"/>
      <c r="G84" s="114"/>
      <c r="H84" s="111"/>
      <c r="I84" s="286"/>
      <c r="J84" s="107"/>
      <c r="K84" s="115"/>
      <c r="L84" s="115"/>
      <c r="M84" s="115"/>
      <c r="N84" s="115"/>
      <c r="O84" s="116"/>
      <c r="P84" s="116"/>
      <c r="Q84" s="117"/>
      <c r="R84" s="298"/>
      <c r="S84" s="298"/>
      <c r="T84" s="433"/>
      <c r="U84" s="395"/>
    </row>
    <row r="85" spans="1:21" ht="11.65" customHeight="1">
      <c r="A85" s="107"/>
      <c r="B85" s="115"/>
      <c r="C85" s="115"/>
      <c r="D85" s="115"/>
      <c r="E85" s="116"/>
      <c r="F85" s="110"/>
      <c r="G85" s="110"/>
      <c r="H85" s="111"/>
      <c r="I85" s="286"/>
      <c r="J85" s="107"/>
      <c r="K85" s="113"/>
      <c r="L85" s="115"/>
      <c r="M85" s="115"/>
      <c r="N85" s="115"/>
      <c r="O85" s="116"/>
      <c r="P85" s="116"/>
      <c r="Q85" s="117"/>
      <c r="R85" s="298"/>
      <c r="S85" s="298"/>
      <c r="T85" s="433"/>
      <c r="U85" s="395"/>
    </row>
    <row r="86" spans="1:21" ht="11.65" customHeight="1">
      <c r="A86" s="107"/>
      <c r="B86" s="115"/>
      <c r="C86" s="115"/>
      <c r="D86" s="115"/>
      <c r="E86" s="116"/>
      <c r="F86" s="107"/>
      <c r="G86" s="107"/>
      <c r="H86" s="118"/>
      <c r="I86" s="287"/>
      <c r="J86" s="107"/>
      <c r="K86" s="113"/>
      <c r="L86" s="113"/>
      <c r="M86" s="115"/>
      <c r="N86" s="115"/>
      <c r="O86" s="116"/>
      <c r="P86" s="116"/>
      <c r="Q86" s="117"/>
      <c r="R86" s="298"/>
      <c r="S86" s="298"/>
      <c r="T86" s="433"/>
      <c r="U86" s="395"/>
    </row>
    <row r="87" spans="1:21" ht="11.65" customHeight="1">
      <c r="A87" s="107"/>
      <c r="B87" s="113"/>
      <c r="C87" s="108"/>
      <c r="D87" s="108"/>
      <c r="E87" s="109"/>
      <c r="F87" s="114"/>
      <c r="G87" s="114"/>
      <c r="H87" s="111"/>
      <c r="I87" s="286"/>
      <c r="J87" s="107"/>
      <c r="K87" s="113"/>
      <c r="L87" s="113"/>
      <c r="M87" s="113"/>
      <c r="N87" s="115"/>
      <c r="O87" s="116"/>
      <c r="P87" s="116"/>
      <c r="Q87" s="117"/>
      <c r="R87" s="298"/>
      <c r="S87" s="298"/>
      <c r="T87" s="433"/>
      <c r="U87" s="395"/>
    </row>
    <row r="88" spans="1:21" ht="11.65" customHeight="1">
      <c r="A88" s="107"/>
      <c r="B88" s="115"/>
      <c r="C88" s="115"/>
      <c r="D88" s="115"/>
      <c r="E88" s="116"/>
      <c r="F88" s="110"/>
      <c r="G88" s="110"/>
      <c r="H88" s="111"/>
      <c r="I88" s="286"/>
      <c r="J88" s="107"/>
      <c r="K88" s="113"/>
      <c r="L88" s="113"/>
      <c r="M88" s="113"/>
      <c r="N88" s="108"/>
      <c r="O88" s="109"/>
      <c r="P88" s="109"/>
      <c r="Q88" s="112"/>
      <c r="R88" s="114"/>
      <c r="S88" s="114"/>
      <c r="T88" s="112"/>
      <c r="U88" s="395"/>
    </row>
    <row r="89" spans="1:21" ht="11.65" customHeight="1">
      <c r="A89" s="107"/>
      <c r="B89" s="115"/>
      <c r="C89" s="115"/>
      <c r="D89" s="115"/>
      <c r="E89" s="116"/>
      <c r="F89" s="110"/>
      <c r="G89" s="110"/>
      <c r="H89" s="111"/>
      <c r="I89" s="287"/>
      <c r="J89" s="107"/>
      <c r="K89" s="115"/>
      <c r="L89" s="115"/>
      <c r="M89" s="115"/>
      <c r="N89" s="115"/>
      <c r="O89" s="116"/>
      <c r="P89" s="116"/>
      <c r="Q89" s="118"/>
      <c r="R89" s="107"/>
      <c r="S89" s="107"/>
      <c r="T89" s="112"/>
      <c r="U89" s="395"/>
    </row>
    <row r="90" spans="1:21" ht="11.65" customHeight="1">
      <c r="A90" s="119"/>
      <c r="B90" s="120"/>
      <c r="C90" s="120"/>
      <c r="D90" s="120"/>
      <c r="E90" s="121"/>
      <c r="F90" s="119"/>
      <c r="G90" s="119"/>
      <c r="H90" s="122"/>
      <c r="I90" s="288"/>
      <c r="J90" s="119"/>
      <c r="K90" s="120"/>
      <c r="L90" s="120"/>
      <c r="M90" s="120"/>
      <c r="N90" s="120"/>
      <c r="O90" s="121"/>
      <c r="P90" s="121"/>
      <c r="Q90" s="122"/>
      <c r="R90" s="119"/>
      <c r="S90" s="119"/>
      <c r="T90" s="122"/>
      <c r="U90" s="288"/>
    </row>
    <row r="91" spans="1:21" ht="14.25" customHeight="1">
      <c r="A91" s="668" t="s">
        <v>310</v>
      </c>
      <c r="B91" s="668"/>
      <c r="C91" s="668"/>
      <c r="D91" s="668"/>
      <c r="E91" s="668"/>
      <c r="F91" s="668"/>
      <c r="G91" s="669">
        <v>0</v>
      </c>
      <c r="H91" s="669"/>
      <c r="L91" s="668" t="s">
        <v>311</v>
      </c>
      <c r="M91" s="668"/>
      <c r="N91" s="668"/>
      <c r="O91" s="668"/>
      <c r="P91" s="668"/>
      <c r="Q91" s="668"/>
      <c r="R91" s="668"/>
      <c r="S91" s="669">
        <v>0</v>
      </c>
      <c r="T91" s="669"/>
    </row>
    <row r="92" spans="1:21" ht="14.25">
      <c r="A92" s="663" t="s">
        <v>8</v>
      </c>
      <c r="B92" s="663"/>
      <c r="D92" s="397" t="s">
        <v>436</v>
      </c>
    </row>
  </sheetData>
  <mergeCells count="19"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  <mergeCell ref="A92:B92"/>
    <mergeCell ref="T9:T11"/>
    <mergeCell ref="U9:U11"/>
    <mergeCell ref="A91:F91"/>
    <mergeCell ref="G91:H91"/>
    <mergeCell ref="L91:R91"/>
    <mergeCell ref="S91:T9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1" manualBreakCount="1">
    <brk id="4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J11" sqref="J11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82" t="str">
        <f>封面!$A$4</f>
        <v>彰化縣地方教育發展基金－彰化縣彰化市民生國民小學</v>
      </c>
      <c r="B1" s="683"/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684"/>
    </row>
    <row r="2" spans="1:13">
      <c r="A2" s="683"/>
      <c r="B2" s="683"/>
      <c r="C2" s="683"/>
      <c r="D2" s="683"/>
      <c r="E2" s="683"/>
      <c r="F2" s="683"/>
      <c r="G2" s="683"/>
      <c r="H2" s="683"/>
      <c r="I2" s="683"/>
      <c r="J2" s="683"/>
      <c r="K2" s="683"/>
      <c r="L2" s="683"/>
      <c r="M2" s="684"/>
    </row>
    <row r="3" spans="1:13">
      <c r="M3" s="194"/>
    </row>
    <row r="4" spans="1:13" ht="23.25" customHeight="1">
      <c r="A4" s="685" t="s">
        <v>27</v>
      </c>
      <c r="B4" s="685"/>
      <c r="C4" s="685"/>
      <c r="D4" s="685"/>
      <c r="E4" s="685"/>
      <c r="F4" s="685"/>
      <c r="G4" s="685"/>
      <c r="H4" s="685"/>
      <c r="I4" s="685"/>
      <c r="J4" s="685"/>
      <c r="K4" s="685"/>
      <c r="L4" s="685"/>
      <c r="M4" s="685"/>
    </row>
    <row r="5" spans="1:13" ht="2.25" customHeight="1">
      <c r="A5" s="685"/>
      <c r="B5" s="685"/>
      <c r="C5" s="685"/>
      <c r="D5" s="685"/>
      <c r="E5" s="685"/>
      <c r="F5" s="685"/>
      <c r="G5" s="685"/>
      <c r="H5" s="685"/>
      <c r="I5" s="685"/>
      <c r="J5" s="685"/>
      <c r="K5" s="685"/>
      <c r="L5" s="685"/>
      <c r="M5" s="685"/>
    </row>
    <row r="6" spans="1:13" ht="16.5">
      <c r="A6" s="686" t="str">
        <f>封面!$E$10&amp;封面!$H$10&amp;封面!$I$10&amp;封面!$J$10&amp;封面!$K$10&amp;封面!L10</f>
        <v>中華民國114年4月份</v>
      </c>
      <c r="B6" s="686"/>
      <c r="C6" s="686"/>
      <c r="D6" s="686"/>
      <c r="E6" s="686"/>
      <c r="F6" s="686"/>
      <c r="G6" s="686"/>
      <c r="H6" s="686"/>
      <c r="I6" s="686"/>
      <c r="J6" s="686"/>
      <c r="K6" s="686"/>
      <c r="L6" s="686"/>
      <c r="M6" s="686"/>
    </row>
    <row r="7" spans="1:13" ht="10.5" customHeight="1"/>
    <row r="8" spans="1:13" ht="16.5">
      <c r="A8" s="638" t="s">
        <v>1</v>
      </c>
      <c r="B8" s="638"/>
      <c r="C8" s="638"/>
      <c r="D8" s="638"/>
      <c r="E8" s="638"/>
      <c r="F8" s="638"/>
      <c r="G8" s="638"/>
      <c r="H8" s="638"/>
      <c r="I8" s="638"/>
      <c r="J8" s="638"/>
      <c r="K8" s="638"/>
      <c r="L8" s="638"/>
      <c r="M8" s="638"/>
    </row>
    <row r="9" spans="1:13" ht="1.5" customHeight="1"/>
    <row r="10" spans="1:13" s="5" customFormat="1" ht="32.25" customHeight="1">
      <c r="A10" s="15"/>
      <c r="B10" s="676" t="s">
        <v>28</v>
      </c>
      <c r="C10" s="677"/>
      <c r="D10" s="678" t="s">
        <v>29</v>
      </c>
      <c r="E10" s="681" t="s">
        <v>30</v>
      </c>
      <c r="F10" s="676"/>
      <c r="G10" s="676"/>
      <c r="H10" s="687" t="s">
        <v>201</v>
      </c>
      <c r="I10" s="688"/>
      <c r="J10" s="688"/>
      <c r="K10" s="688"/>
      <c r="L10" s="688"/>
      <c r="M10" s="67"/>
    </row>
    <row r="11" spans="1:13" s="5" customFormat="1" ht="16.5" hidden="1" customHeight="1">
      <c r="B11" s="689" t="s">
        <v>31</v>
      </c>
      <c r="C11" s="678" t="s">
        <v>32</v>
      </c>
      <c r="D11" s="679"/>
      <c r="E11" s="678" t="s">
        <v>33</v>
      </c>
      <c r="F11" s="678" t="s">
        <v>34</v>
      </c>
      <c r="G11" s="678" t="s">
        <v>35</v>
      </c>
      <c r="H11" s="678" t="s">
        <v>33</v>
      </c>
      <c r="I11" s="678" t="s">
        <v>34</v>
      </c>
      <c r="J11" s="693" t="s">
        <v>193</v>
      </c>
      <c r="K11" s="694"/>
      <c r="L11" s="695"/>
      <c r="M11" s="125"/>
    </row>
    <row r="12" spans="1:13" s="5" customFormat="1" ht="16.5">
      <c r="A12" s="15"/>
      <c r="B12" s="690"/>
      <c r="C12" s="691"/>
      <c r="D12" s="680"/>
      <c r="E12" s="691"/>
      <c r="F12" s="691"/>
      <c r="G12" s="691"/>
      <c r="H12" s="692"/>
      <c r="I12" s="692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4"/>
      <c r="D13" s="294"/>
      <c r="E13" s="294"/>
      <c r="H13" s="13"/>
      <c r="I13" s="13"/>
      <c r="J13" s="13"/>
      <c r="K13" s="13"/>
      <c r="L13" s="13"/>
      <c r="M13" s="13"/>
    </row>
    <row r="14" spans="1:13" hidden="1">
      <c r="C14" s="294"/>
      <c r="D14" s="294"/>
      <c r="E14" s="294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5"/>
      <c r="D15" s="336" t="s">
        <v>36</v>
      </c>
      <c r="E15" s="337"/>
      <c r="F15" s="235"/>
      <c r="G15" s="236"/>
      <c r="H15" s="237">
        <v>9483516</v>
      </c>
      <c r="I15" s="237">
        <v>9424000</v>
      </c>
      <c r="J15" s="237">
        <v>59516</v>
      </c>
      <c r="K15" s="237"/>
      <c r="L15" s="238">
        <v>0.63</v>
      </c>
      <c r="M15" s="123"/>
    </row>
    <row r="16" spans="1:13" ht="12.75" hidden="1" customHeight="1">
      <c r="A16" s="6"/>
      <c r="B16" s="130"/>
      <c r="C16" s="321"/>
      <c r="D16" s="322"/>
      <c r="E16" s="323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8"/>
      <c r="D17" s="540" t="s">
        <v>37</v>
      </c>
      <c r="E17" s="337"/>
      <c r="F17" s="235"/>
      <c r="G17" s="236"/>
      <c r="H17" s="237">
        <v>56084211</v>
      </c>
      <c r="I17" s="237">
        <v>58559000</v>
      </c>
      <c r="J17" s="237">
        <v>-2474789</v>
      </c>
      <c r="K17" s="237"/>
      <c r="L17" s="238">
        <v>-4.2300000000000004</v>
      </c>
      <c r="M17" s="123"/>
    </row>
    <row r="18" spans="1:13" ht="12.75" customHeight="1">
      <c r="C18" s="322"/>
      <c r="D18" s="501"/>
      <c r="E18" s="323"/>
      <c r="F18" s="69"/>
      <c r="G18" s="69"/>
      <c r="H18" s="504"/>
      <c r="I18" s="504"/>
      <c r="J18" s="504"/>
      <c r="K18" s="504"/>
      <c r="L18" s="504"/>
      <c r="M18" s="503"/>
    </row>
    <row r="19" spans="1:13" ht="12.75" customHeight="1">
      <c r="C19" s="322"/>
      <c r="D19" s="322"/>
      <c r="E19" s="323"/>
      <c r="F19" s="69"/>
      <c r="G19" s="69"/>
      <c r="H19" s="505"/>
      <c r="I19" s="505"/>
      <c r="J19" s="505"/>
      <c r="K19" s="505"/>
      <c r="L19" s="505"/>
      <c r="M19" s="503"/>
    </row>
    <row r="20" spans="1:13" ht="21" customHeight="1">
      <c r="A20" s="11"/>
      <c r="B20" s="16" t="s">
        <v>23</v>
      </c>
      <c r="C20" s="335"/>
      <c r="D20" s="336" t="s">
        <v>36</v>
      </c>
      <c r="E20" s="337"/>
      <c r="F20" s="235"/>
      <c r="G20" s="82"/>
      <c r="H20" s="237">
        <v>0</v>
      </c>
      <c r="I20" s="237">
        <v>0</v>
      </c>
      <c r="J20" s="237">
        <v>0</v>
      </c>
      <c r="K20" s="237"/>
      <c r="L20" s="238">
        <v>0</v>
      </c>
      <c r="M20" s="123"/>
    </row>
    <row r="21" spans="1:13" ht="12.75" hidden="1" customHeight="1">
      <c r="A21" s="6"/>
      <c r="B21" s="130"/>
      <c r="C21" s="321"/>
      <c r="D21" s="322"/>
      <c r="E21" s="323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8"/>
      <c r="D22" s="540" t="s">
        <v>37</v>
      </c>
      <c r="E22" s="337"/>
      <c r="F22" s="235"/>
      <c r="G22" s="82"/>
      <c r="H22" s="237">
        <v>0</v>
      </c>
      <c r="I22" s="237">
        <v>50000</v>
      </c>
      <c r="J22" s="237">
        <v>-50000</v>
      </c>
      <c r="K22" s="237"/>
      <c r="L22" s="238" t="s">
        <v>567</v>
      </c>
      <c r="M22" s="123"/>
    </row>
    <row r="23" spans="1:13" ht="12.75" customHeight="1">
      <c r="D23" s="502"/>
      <c r="E23" s="69"/>
      <c r="F23" s="69"/>
      <c r="G23" s="69"/>
      <c r="H23" s="504"/>
      <c r="I23" s="504"/>
      <c r="J23" s="504"/>
      <c r="K23" s="504"/>
      <c r="L23" s="504"/>
      <c r="M23" s="503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具名範圍</vt:lpstr>
      </vt:variant>
      <vt:variant>
        <vt:i4>19</vt:i4>
      </vt:variant>
    </vt:vector>
  </HeadingPairs>
  <TitlesOfParts>
    <vt:vector size="41" baseType="lpstr">
      <vt:lpstr>封面-移交</vt:lpstr>
      <vt:lpstr>勾稽</vt:lpstr>
      <vt:lpstr>簡簽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2025-05-02T01:05:16Z</cp:lastPrinted>
  <dcterms:created xsi:type="dcterms:W3CDTF">2016-11-01T23:05:09Z</dcterms:created>
  <dcterms:modified xsi:type="dcterms:W3CDTF">2025-05-02T01:06:03Z</dcterms:modified>
</cp:coreProperties>
</file>