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3\"/>
    </mc:Choice>
  </mc:AlternateContent>
  <xr:revisionPtr revIDLastSave="0" documentId="13_ncr:1_{5B1C75F5-F74C-4918-985D-CD39A9432E5E}" xr6:coauthVersionLast="36" xr6:coauthVersionMax="47" xr10:uidLastSave="{00000000-0000-0000-0000-000000000000}"/>
  <bookViews>
    <workbookView xWindow="0" yWindow="0" windowWidth="28800" windowHeight="10995" tabRatio="793" activeTab="2" xr2:uid="{00000000-000D-0000-FFFF-FFFF00000000}"/>
  </bookViews>
  <sheets>
    <sheet name="封面-移交" sheetId="22" r:id="rId1"/>
    <sheet name="勾稽" sheetId="15" state="hidden" r:id="rId2"/>
    <sheet name="簡簽" sheetId="26" r:id="rId3"/>
    <sheet name="代收款" sheetId="27" r:id="rId4"/>
    <sheet name="預算執行1001" sheetId="28" r:id="rId5"/>
    <sheet name="勾稽 (2)" sheetId="25" r:id="rId6"/>
    <sheet name="封面" sheetId="14" r:id="rId7"/>
    <sheet name="餘絀表" sheetId="3" r:id="rId8"/>
    <sheet name="平衡" sheetId="1" r:id="rId9"/>
    <sheet name="主要業務" sheetId="5" r:id="rId10"/>
    <sheet name="資產" sheetId="21" r:id="rId11"/>
    <sheet name="固定" sheetId="8" r:id="rId12"/>
    <sheet name="各項費用" sheetId="9" r:id="rId13"/>
    <sheet name="落後原因" sheetId="10" r:id="rId14"/>
    <sheet name="收支" sheetId="23" r:id="rId15"/>
    <sheet name="對照表" sheetId="24" r:id="rId16"/>
    <sheet name="庫款差額" sheetId="11" r:id="rId17"/>
    <sheet name="縣庫對帳" sheetId="12" r:id="rId18"/>
    <sheet name="專戶差額" sheetId="16" r:id="rId19"/>
    <sheet name="專戶對帳" sheetId="18" r:id="rId20"/>
    <sheet name="固定項目" sheetId="7" r:id="rId21"/>
    <sheet name="保管品" sheetId="17" r:id="rId22"/>
    <sheet name="對帳通知單" sheetId="13" r:id="rId23"/>
  </sheets>
  <externalReferences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9">主要業務!$A$1:$L$24</definedName>
    <definedName name="_xlnm.Print_Area" localSheetId="8">平衡!$A$1:$U$50</definedName>
    <definedName name="_xlnm.Print_Area" localSheetId="12">各項費用!$A$1:$W$86</definedName>
    <definedName name="_xlnm.Print_Area" localSheetId="14">收支!$A$1:$N$44</definedName>
    <definedName name="_xlnm.Print_Area" localSheetId="11">固定!$A$1:$P$41</definedName>
    <definedName name="_xlnm.Print_Area" localSheetId="20">固定項目!$A$1:$I$43</definedName>
    <definedName name="_xlnm.Print_Area" localSheetId="6">封面!$A$1:$N$17</definedName>
    <definedName name="_xlnm.Print_Area" localSheetId="0">'封面-移交'!$A$1:$N$18</definedName>
    <definedName name="_xlnm.Print_Area" localSheetId="16">庫款差額!$A$1:$C$24</definedName>
    <definedName name="_xlnm.Print_Area" localSheetId="18">專戶差額!$A$1:$L$49</definedName>
    <definedName name="_xlnm.Print_Area" localSheetId="13">落後原因!$A$1:$P$27</definedName>
    <definedName name="_xlnm.Print_Area" localSheetId="10">資產!$A$1:$G$41</definedName>
    <definedName name="_xlnm.Print_Area" localSheetId="22">對帳通知單!$A$1:$R$20</definedName>
    <definedName name="_xlnm.Print_Area" localSheetId="15">對照表!$A$1:$I$35</definedName>
    <definedName name="_xlnm.Print_Area" localSheetId="7">餘絀表!$A$1:$AD$50</definedName>
    <definedName name="_xlnm.Print_Area" localSheetId="17">縣庫對帳!$B$1:$L$27</definedName>
    <definedName name="_xlnm.Print_Titles" localSheetId="12">各項費用!$2:$10</definedName>
    <definedName name="_xlnm.Print_Titles" localSheetId="16">庫款差額!$1:$5</definedName>
    <definedName name="_xlnm.Print_Titles" localSheetId="17">縣庫對帳!$1:$3</definedName>
  </definedNames>
  <calcPr calcId="191029"/>
</workbook>
</file>

<file path=xl/calcChain.xml><?xml version="1.0" encoding="utf-8"?>
<calcChain xmlns="http://schemas.openxmlformats.org/spreadsheetml/2006/main">
  <c r="AJ101" i="28" l="1"/>
  <c r="AI98" i="28"/>
  <c r="AI92" i="28" l="1"/>
  <c r="AI74" i="28"/>
  <c r="AJ74" i="28" s="1"/>
  <c r="AI76" i="28"/>
  <c r="AI64" i="28"/>
  <c r="AI46" i="28"/>
  <c r="AJ46" i="28" s="1"/>
  <c r="AI44" i="28"/>
  <c r="AJ44" i="28" s="1"/>
  <c r="AI41" i="28"/>
  <c r="AJ41" i="28" s="1"/>
  <c r="AI42" i="28"/>
  <c r="AJ42" i="28" s="1"/>
  <c r="AI43" i="28"/>
  <c r="AI45" i="28"/>
  <c r="AI47" i="28"/>
  <c r="AJ47" i="28" s="1"/>
  <c r="AI48" i="28"/>
  <c r="AJ48" i="28" s="1"/>
  <c r="AI49" i="28"/>
  <c r="AJ49" i="28" s="1"/>
  <c r="AI50" i="28"/>
  <c r="AJ50" i="28" s="1"/>
  <c r="AI51" i="28"/>
  <c r="AI52" i="28"/>
  <c r="AI53" i="28"/>
  <c r="AI54" i="28"/>
  <c r="AI55" i="28"/>
  <c r="AJ55" i="28" s="1"/>
  <c r="AI56" i="28"/>
  <c r="AJ56" i="28" s="1"/>
  <c r="AI57" i="28"/>
  <c r="AJ57" i="28" s="1"/>
  <c r="AI58" i="28"/>
  <c r="AJ58" i="28" s="1"/>
  <c r="AI59" i="28"/>
  <c r="AI60" i="28"/>
  <c r="AI61" i="28"/>
  <c r="AI62" i="28"/>
  <c r="AI63" i="28"/>
  <c r="AJ63" i="28" s="1"/>
  <c r="AJ64" i="28"/>
  <c r="AI65" i="28"/>
  <c r="AJ65" i="28" s="1"/>
  <c r="AI66" i="28"/>
  <c r="AJ66" i="28" s="1"/>
  <c r="AI67" i="28"/>
  <c r="AI68" i="28"/>
  <c r="AI69" i="28"/>
  <c r="AI71" i="28"/>
  <c r="AJ71" i="28" s="1"/>
  <c r="AI72" i="28"/>
  <c r="AJ72" i="28" s="1"/>
  <c r="AI73" i="28"/>
  <c r="AJ73" i="28" s="1"/>
  <c r="AI75" i="28"/>
  <c r="AI77" i="28"/>
  <c r="AI78" i="28"/>
  <c r="AI79" i="28"/>
  <c r="AJ79" i="28" s="1"/>
  <c r="AI80" i="28"/>
  <c r="AJ80" i="28" s="1"/>
  <c r="AI81" i="28"/>
  <c r="AJ81" i="28" s="1"/>
  <c r="AI82" i="28"/>
  <c r="AJ82" i="28" s="1"/>
  <c r="AI83" i="28"/>
  <c r="AI84" i="28"/>
  <c r="AI85" i="28"/>
  <c r="AI86" i="28"/>
  <c r="AI87" i="28"/>
  <c r="AJ87" i="28" s="1"/>
  <c r="AJ88" i="28"/>
  <c r="AI89" i="28"/>
  <c r="AJ89" i="28" s="1"/>
  <c r="AI90" i="28"/>
  <c r="AJ90" i="28" s="1"/>
  <c r="AI91" i="28"/>
  <c r="AI93" i="28"/>
  <c r="AI94" i="28"/>
  <c r="AI95" i="28"/>
  <c r="AJ95" i="28" s="1"/>
  <c r="AI96" i="28"/>
  <c r="AJ96" i="28" s="1"/>
  <c r="AI40" i="28"/>
  <c r="AJ40" i="28" s="1"/>
  <c r="AI38" i="28"/>
  <c r="AJ38" i="28"/>
  <c r="AJ39" i="28"/>
  <c r="AJ43" i="28"/>
  <c r="AJ45" i="28"/>
  <c r="AJ51" i="28"/>
  <c r="AJ52" i="28"/>
  <c r="AJ53" i="28"/>
  <c r="AJ54" i="28"/>
  <c r="AJ59" i="28"/>
  <c r="AJ60" i="28"/>
  <c r="AJ61" i="28"/>
  <c r="AJ62" i="28"/>
  <c r="AJ67" i="28"/>
  <c r="AJ68" i="28"/>
  <c r="AJ69" i="28"/>
  <c r="AJ75" i="28"/>
  <c r="AJ76" i="28"/>
  <c r="AJ77" i="28"/>
  <c r="AJ78" i="28"/>
  <c r="AJ83" i="28"/>
  <c r="AJ84" i="28"/>
  <c r="AJ85" i="28"/>
  <c r="AJ86" i="28"/>
  <c r="AJ91" i="28"/>
  <c r="AJ92" i="28"/>
  <c r="AJ93" i="28"/>
  <c r="AJ94" i="28"/>
  <c r="AI39" i="28"/>
  <c r="AJ98" i="28" l="1"/>
  <c r="B16" i="11"/>
  <c r="D30" i="25" l="1"/>
  <c r="D29" i="25"/>
  <c r="D28" i="25"/>
  <c r="D26" i="25"/>
  <c r="D25" i="25"/>
  <c r="Y229" i="27"/>
  <c r="Y33" i="27"/>
  <c r="Y31" i="27"/>
  <c r="Y29" i="27"/>
  <c r="H22" i="25" l="1"/>
  <c r="H20" i="25"/>
  <c r="H21" i="25" l="1"/>
  <c r="E18" i="25" l="1"/>
  <c r="N37" i="23" l="1"/>
  <c r="N35" i="23"/>
  <c r="N34" i="23"/>
  <c r="N32" i="23"/>
  <c r="N30" i="23"/>
  <c r="N28" i="23"/>
  <c r="N25" i="23"/>
  <c r="N23" i="23"/>
  <c r="N21" i="23"/>
  <c r="N20" i="23"/>
  <c r="N19" i="23"/>
  <c r="N18" i="23"/>
  <c r="N17" i="23"/>
  <c r="N16" i="23"/>
  <c r="N15" i="23"/>
  <c r="N21" i="8" l="1"/>
  <c r="N22" i="8"/>
  <c r="N23" i="8"/>
  <c r="N24" i="8"/>
  <c r="N25" i="8"/>
  <c r="N26" i="8"/>
  <c r="N27" i="8"/>
  <c r="N28" i="8"/>
  <c r="N29" i="8"/>
  <c r="N30" i="8"/>
  <c r="N31" i="8"/>
  <c r="N32" i="8"/>
  <c r="N33" i="8"/>
  <c r="N34" i="8"/>
  <c r="N35" i="8"/>
  <c r="N36" i="8"/>
  <c r="N37" i="8"/>
  <c r="N38" i="8"/>
  <c r="N39" i="8"/>
  <c r="N40" i="8"/>
  <c r="N41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5" i="8"/>
  <c r="L36" i="8"/>
  <c r="L37" i="8"/>
  <c r="L38" i="8"/>
  <c r="L39" i="8"/>
  <c r="L40" i="8"/>
  <c r="L41" i="8"/>
  <c r="L34" i="8"/>
  <c r="C31" i="8"/>
  <c r="D31" i="8"/>
  <c r="E31" i="8"/>
  <c r="E41" i="8" s="1"/>
  <c r="F31" i="8"/>
  <c r="G31" i="8"/>
  <c r="H31" i="8"/>
  <c r="I31" i="8"/>
  <c r="K31" i="8" s="1"/>
  <c r="J31" i="8"/>
  <c r="J41" i="8" s="1"/>
  <c r="G32" i="8"/>
  <c r="K32" i="8"/>
  <c r="M32" i="8"/>
  <c r="G33" i="8"/>
  <c r="K33" i="8"/>
  <c r="M33" i="8"/>
  <c r="C34" i="8"/>
  <c r="G34" i="8" s="1"/>
  <c r="D34" i="8"/>
  <c r="D41" i="8" s="1"/>
  <c r="E34" i="8"/>
  <c r="F34" i="8"/>
  <c r="H34" i="8"/>
  <c r="I34" i="8"/>
  <c r="J34" i="8"/>
  <c r="K34" i="8"/>
  <c r="G35" i="8"/>
  <c r="K35" i="8"/>
  <c r="M35" i="8"/>
  <c r="G36" i="8"/>
  <c r="K36" i="8"/>
  <c r="M36" i="8"/>
  <c r="C37" i="8"/>
  <c r="G37" i="8" s="1"/>
  <c r="D37" i="8"/>
  <c r="E37" i="8"/>
  <c r="F37" i="8"/>
  <c r="F41" i="8" s="1"/>
  <c r="H37" i="8"/>
  <c r="I37" i="8"/>
  <c r="K37" i="8" s="1"/>
  <c r="J37" i="8"/>
  <c r="G38" i="8"/>
  <c r="K38" i="8"/>
  <c r="M38" i="8"/>
  <c r="G39" i="8"/>
  <c r="K39" i="8"/>
  <c r="M39" i="8" s="1"/>
  <c r="G40" i="8"/>
  <c r="K40" i="8"/>
  <c r="M40" i="8"/>
  <c r="M37" i="8" l="1"/>
  <c r="M34" i="8"/>
  <c r="H41" i="8"/>
  <c r="C41" i="8"/>
  <c r="G41" i="8"/>
  <c r="M31" i="8"/>
  <c r="I41" i="8"/>
  <c r="K41" i="8" s="1"/>
  <c r="T30" i="1"/>
  <c r="M41" i="8" l="1"/>
  <c r="G42" i="21"/>
  <c r="AG31" i="3" l="1"/>
  <c r="AG30" i="3"/>
  <c r="AG29" i="3"/>
  <c r="AG28" i="3"/>
  <c r="AG27" i="3"/>
  <c r="AG26" i="3"/>
  <c r="AG32" i="3"/>
  <c r="F1" i="26" l="1"/>
  <c r="D1" i="26"/>
  <c r="F30" i="25" l="1"/>
  <c r="K8" i="16" l="1"/>
  <c r="J8" i="16"/>
  <c r="H8" i="16"/>
  <c r="G8" i="16"/>
  <c r="I33" i="23"/>
  <c r="N33" i="23" s="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D32" i="24"/>
  <c r="N41" i="23"/>
  <c r="D30" i="24" l="1"/>
  <c r="C30" i="24"/>
  <c r="N39" i="23"/>
  <c r="C2" i="3" l="1"/>
  <c r="F26" i="25" l="1"/>
  <c r="F28" i="25"/>
  <c r="F29" i="25"/>
  <c r="AH31" i="3" l="1"/>
  <c r="AH30" i="3"/>
  <c r="T51" i="3" l="1"/>
  <c r="P8" i="12"/>
  <c r="D6" i="25"/>
  <c r="E6" i="25"/>
  <c r="D7" i="25"/>
  <c r="E7" i="25"/>
  <c r="AH32" i="3" l="1"/>
  <c r="AH28" i="3"/>
  <c r="E32" i="24" l="1"/>
  <c r="N40" i="23" l="1"/>
  <c r="O9" i="14" l="1"/>
  <c r="O10" i="14" s="1"/>
  <c r="G17" i="21"/>
  <c r="G18" i="21"/>
  <c r="G16" i="21"/>
  <c r="AG20" i="3" l="1"/>
  <c r="AG21" i="3"/>
  <c r="AG22" i="3"/>
  <c r="AG23" i="3"/>
  <c r="AG24" i="3"/>
  <c r="AG25" i="3"/>
  <c r="P7" i="12" l="1"/>
  <c r="K46" i="16"/>
  <c r="K41" i="16"/>
  <c r="K37" i="16"/>
  <c r="K16" i="16"/>
  <c r="K10" i="16"/>
  <c r="K45" i="16" l="1"/>
  <c r="K51" i="16" s="1"/>
  <c r="M9" i="16" l="1"/>
  <c r="B3" i="16" l="1"/>
  <c r="H46" i="16"/>
  <c r="I46" i="16"/>
  <c r="J46" i="16"/>
  <c r="L46" i="16"/>
  <c r="G46" i="16"/>
  <c r="J41" i="16"/>
  <c r="J37" i="16"/>
  <c r="J16" i="16"/>
  <c r="J10" i="16"/>
  <c r="M46" i="16" l="1"/>
  <c r="J45" i="16"/>
  <c r="J51" i="16" s="1"/>
  <c r="D23" i="25" l="1"/>
  <c r="I17" i="23" l="1"/>
  <c r="G32" i="25" l="1"/>
  <c r="I36" i="23" l="1"/>
  <c r="N36" i="23" s="1"/>
  <c r="I31" i="23"/>
  <c r="N31" i="23" s="1"/>
  <c r="I29" i="23"/>
  <c r="N29" i="23" s="1"/>
  <c r="I27" i="23"/>
  <c r="N27" i="23" s="1"/>
  <c r="I24" i="23"/>
  <c r="N24" i="23" s="1"/>
  <c r="I22" i="23"/>
  <c r="N22" i="23" s="1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6" i="23"/>
  <c r="N26" i="23" s="1"/>
  <c r="D29" i="24"/>
  <c r="D33" i="24" s="1"/>
  <c r="C5" i="3"/>
  <c r="A6" i="5"/>
  <c r="A4" i="1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19" i="3"/>
  <c r="AG18" i="3"/>
  <c r="AG17" i="3"/>
  <c r="AG16" i="3"/>
  <c r="F32" i="25"/>
  <c r="F21" i="25"/>
  <c r="E21" i="25"/>
  <c r="D21" i="25" s="1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G15" i="21"/>
  <c r="G12" i="21"/>
  <c r="F11" i="15"/>
  <c r="D11" i="15"/>
  <c r="E13" i="15"/>
  <c r="F27" i="25" l="1"/>
  <c r="D27" i="25" s="1"/>
  <c r="E29" i="24"/>
  <c r="I38" i="23"/>
  <c r="N38" i="23" s="1"/>
  <c r="J29" i="24"/>
  <c r="E15" i="15"/>
  <c r="E20" i="15"/>
  <c r="E21" i="15"/>
  <c r="G11" i="15"/>
  <c r="N42" i="23" l="1"/>
  <c r="E13" i="25"/>
  <c r="G13" i="25" s="1"/>
  <c r="D13" i="25" s="1"/>
  <c r="H10" i="25" s="1"/>
  <c r="F12" i="15"/>
  <c r="F12" i="25"/>
  <c r="L8" i="16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M24" i="8" s="1"/>
  <c r="K26" i="8"/>
  <c r="M26" i="8" s="1"/>
  <c r="K27" i="8"/>
  <c r="K29" i="8"/>
  <c r="M29" i="8" s="1"/>
  <c r="K30" i="8"/>
  <c r="M30" i="8" s="1"/>
  <c r="G23" i="8"/>
  <c r="G24" i="8"/>
  <c r="G26" i="8"/>
  <c r="G27" i="8"/>
  <c r="G29" i="8"/>
  <c r="G30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M22" i="8" l="1"/>
  <c r="G22" i="8"/>
  <c r="K21" i="8"/>
  <c r="G28" i="8"/>
  <c r="G25" i="8"/>
  <c r="K28" i="8"/>
  <c r="K25" i="8"/>
  <c r="G21" i="8"/>
  <c r="M27" i="8"/>
  <c r="M23" i="8"/>
  <c r="D23" i="15"/>
  <c r="M25" i="8" l="1"/>
  <c r="M21" i="8"/>
  <c r="M28" i="8"/>
  <c r="L41" i="16"/>
  <c r="I41" i="16"/>
  <c r="H41" i="16"/>
  <c r="G41" i="16"/>
  <c r="L37" i="16"/>
  <c r="I37" i="16"/>
  <c r="H37" i="16"/>
  <c r="G37" i="16"/>
  <c r="L16" i="16"/>
  <c r="I16" i="16"/>
  <c r="H16" i="16"/>
  <c r="G16" i="16"/>
  <c r="L10" i="16"/>
  <c r="I10" i="16"/>
  <c r="H10" i="16"/>
  <c r="G10" i="16"/>
  <c r="M41" i="16" l="1"/>
  <c r="M10" i="16"/>
  <c r="G45" i="16"/>
  <c r="G51" i="16" s="1"/>
  <c r="M16" i="16"/>
  <c r="H45" i="16"/>
  <c r="H51" i="16" s="1"/>
  <c r="L45" i="16"/>
  <c r="L51" i="16" s="1"/>
  <c r="M37" i="16"/>
  <c r="A16" i="11"/>
  <c r="F10" i="21" l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  <c r="D32" i="25" l="1"/>
  <c r="D33" i="25" s="1"/>
  <c r="I8" i="16"/>
  <c r="M8" i="16" s="1"/>
  <c r="I45" i="16" l="1"/>
  <c r="M45" i="16" s="1"/>
  <c r="G7" i="16"/>
  <c r="M7" i="16" s="1"/>
  <c r="G47" i="16" l="1"/>
  <c r="M47" i="16" s="1"/>
  <c r="I5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0000000-0006-0000-0300-000001000000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<sst xmlns="http://schemas.openxmlformats.org/spreadsheetml/2006/main" count="1320" uniqueCount="1017">
  <si>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</si>
  <si>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</si>
  <si>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</si>
  <si>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</si>
  <si>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</si>
  <si>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</si>
  <si>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</si>
  <si>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</si>
  <si>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</si>
  <si>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</si>
  <si>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</si>
  <si>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</si>
  <si>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</si>
  <si>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</si>
  <si>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</si>
  <si>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</si>
  <si>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</si>
  <si>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</si>
  <si>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</si>
  <si>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</si>
  <si>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</si>
  <si>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</si>
  <si>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</si>
  <si>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</si>
  <si>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</si>
  <si>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</si>
  <si>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</si>
  <si>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</si>
  <si>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</si>
  <si>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</si>
  <si>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</si>
  <si>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</si>
  <si>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</si>
  <si>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</si>
  <si>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</si>
  <si>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</si>
  <si>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</si>
  <si>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</si>
  <si>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</si>
  <si>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</si>
  <si>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</si>
  <si>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</si>
  <si>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</si>
  <si>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</si>
  <si>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</si>
  <si>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</si>
  <si>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</si>
  <si>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</si>
  <si>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</si>
  <si>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</si>
  <si>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</si>
  <si>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</si>
  <si>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</si>
  <si>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</si>
  <si>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</si>
  <si>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</si>
  <si>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</si>
  <si>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</si>
  <si>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</si>
  <si>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</si>
  <si>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</si>
  <si>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</si>
  <si>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</si>
  <si>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</si>
  <si>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</si>
  <si>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</si>
  <si>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</si>
  <si>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</si>
  <si>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</si>
  <si>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</si>
  <si>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</si>
  <si>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</si>
  <si>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</si>
  <si>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</si>
  <si>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</si>
  <si>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</si>
  <si>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</si>
  <si>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</si>
  <si>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</si>
  <si>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</si>
  <si>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</si>
  <si>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</si>
  <si>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</si>
  <si>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</si>
  <si>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</si>
  <si>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</si>
  <si>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</si>
  <si>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</si>
  <si>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</si>
  <si>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</si>
  <si>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</si>
  <si>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</si>
  <si>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</si>
  <si>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</si>
  <si>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</si>
  <si>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</si>
  <si>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</si>
  <si>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</si>
  <si>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</si>
  <si>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</si>
  <si>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</si>
  <si>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</si>
  <si>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</si>
  <si>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</si>
  <si>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</si>
  <si>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</si>
  <si>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</si>
  <si>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</si>
  <si>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</si>
  <si>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</si>
  <si>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</si>
  <si>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</si>
  <si>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</si>
  <si>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</si>
  <si>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</si>
  <si>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</si>
  <si>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</si>
  <si>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</si>
  <si>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</si>
  <si>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</si>
  <si>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</si>
  <si>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</si>
  <si>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</si>
  <si>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</si>
  <si>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</si>
  <si>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</si>
  <si>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</si>
  <si>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</si>
  <si>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</si>
  <si>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</si>
  <si>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</si>
  <si>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</si>
  <si>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</si>
  <si>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</si>
  <si>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</si>
  <si>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</si>
  <si>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</si>
  <si>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</si>
  <si>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</si>
  <si>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</si>
  <si>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</si>
  <si>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</si>
  <si>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</si>
  <si>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</si>
  <si>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</si>
  <si>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</si>
  <si>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</si>
  <si>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</si>
  <si>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</si>
  <si>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</si>
  <si>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</si>
  <si>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</si>
  <si>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</si>
  <si>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</si>
  <si>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</si>
  <si>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</si>
  <si>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</si>
  <si>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</si>
  <si>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</si>
  <si>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</si>
  <si>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</si>
  <si>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</si>
  <si>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</si>
  <si>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</si>
  <si>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</si>
  <si>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</si>
  <si>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</si>
  <si>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</si>
  <si>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</si>
  <si>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</si>
  <si>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</si>
  <si>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</si>
  <si>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</si>
  <si>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</si>
  <si>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</si>
  <si>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</si>
  <si>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</si>
  <si>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</si>
  <si>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</si>
  <si>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</si>
  <si>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</si>
  <si>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</si>
  <si>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</si>
  <si>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</si>
  <si>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</si>
  <si>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</si>
  <si>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</si>
  <si>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</si>
  <si>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</si>
  <si>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</si>
  <si>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</si>
  <si>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</si>
  <si>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</si>
  <si>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</si>
  <si>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</si>
  <si>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</si>
  <si>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</si>
  <si>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</si>
  <si>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</si>
  <si>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</si>
  <si>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</si>
  <si>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</si>
  <si>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</si>
  <si>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</si>
  <si>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</si>
  <si>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</si>
  <si>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</si>
  <si>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</si>
  <si>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</si>
  <si>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</si>
  <si>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</si>
  <si>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</si>
  <si>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</si>
  <si>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</si>
  <si>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</si>
  <si>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</si>
  <si>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</si>
  <si>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</si>
  <si>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</si>
  <si>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</si>
  <si>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</si>
  <si>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</si>
  <si>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</si>
  <si>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</si>
  <si>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</si>
  <si>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</si>
  <si>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</si>
  <si>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</si>
  <si>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</si>
  <si>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</si>
  <si>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</si>
  <si>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</si>
  <si>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</si>
  <si>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</si>
  <si>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</si>
  <si>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</si>
  <si>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</si>
  <si>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</si>
  <si>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</si>
  <si>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</si>
  <si>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</si>
  <si>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</si>
  <si>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</si>
  <si>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</si>
  <si>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</si>
  <si>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</si>
  <si>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</si>
  <si>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</si>
  <si>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</si>
  <si>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</si>
  <si>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</si>
  <si>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</si>
  <si>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</si>
  <si>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</si>
  <si>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</si>
  <si>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</si>
  <si>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</si>
  <si>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</si>
  <si>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</si>
  <si>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</si>
  <si>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</si>
  <si>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</si>
  <si>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</si>
  <si>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</si>
  <si>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</si>
  <si>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</si>
  <si>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</si>
  <si>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</si>
  <si>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</si>
  <si>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</si>
  <si>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</si>
  <si>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</si>
  <si>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</si>
  <si>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</si>
  <si>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</si>
  <si>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</si>
  <si>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</si>
  <si>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</si>
  <si>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</si>
  <si>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</si>
  <si>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</si>
  <si>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</si>
  <si>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</si>
  <si>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</si>
  <si>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</si>
  <si>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</si>
  <si>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</si>
  <si>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</si>
  <si>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</si>
  <si>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</si>
  <si>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</si>
  <si>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</si>
  <si>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</si>
  <si>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</si>
  <si>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</si>
  <si>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</si>
  <si>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</si>
  <si>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</si>
  <si>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</si>
  <si>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</si>
  <si>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</si>
  <si>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</si>
  <si>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</si>
  <si>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</si>
  <si>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</si>
  <si>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</si>
  <si>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</si>
  <si>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</si>
  <si>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</si>
  <si>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</si>
  <si>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</si>
  <si>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</si>
  <si>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</si>
  <si>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</si>
  <si>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</si>
  <si>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</si>
  <si>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</si>
  <si>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</si>
  <si>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</si>
  <si>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</si>
  <si>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</si>
  <si>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</si>
  <si>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</si>
  <si>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</si>
  <si>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</si>
  <si>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</si>
  <si>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</si>
  <si>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</si>
  <si>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</si>
  <si>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</si>
  <si>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</si>
  <si>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</si>
  <si>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</si>
  <si>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</si>
  <si>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</si>
  <si>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</si>
  <si>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</si>
  <si>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</si>
  <si>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</si>
  <si>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</si>
  <si>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</si>
  <si>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</si>
  <si>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</si>
  <si>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</si>
  <si>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</si>
  <si>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</si>
  <si>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</si>
  <si>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</si>
  <si>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</si>
  <si>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</si>
  <si>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</si>
  <si>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</si>
  <si>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</si>
  <si>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</si>
  <si>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</si>
  <si>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</si>
  <si>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</si>
  <si>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</si>
  <si>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</si>
  <si>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</si>
  <si>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</si>
  <si>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</si>
  <si>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</si>
  <si>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</si>
  <si>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</si>
  <si>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</si>
  <si>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</si>
  <si>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</si>
  <si>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</si>
  <si>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</si>
  <si>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</si>
  <si>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</si>
  <si>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</si>
  <si>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</si>
  <si>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</si>
  <si>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</si>
  <si>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</si>
  <si>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</si>
  <si>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</si>
  <si>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</si>
  <si>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</si>
  <si>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</si>
  <si>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</si>
  <si>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</si>
  <si>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</si>
  <si>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</si>
  <si>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</si>
  <si>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</si>
  <si>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</si>
  <si>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</si>
  <si>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</si>
  <si>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</si>
  <si>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</si>
  <si>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</si>
  <si>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</si>
  <si>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</si>
  <si>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</si>
  <si>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</si>
  <si>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</si>
  <si>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</si>
  <si>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</si>
  <si>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</si>
  <si>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</si>
  <si>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</si>
  <si>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</si>
  <si>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</si>
  <si>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</si>
  <si>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</si>
  <si>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</si>
  <si>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</si>
  <si>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</si>
  <si>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</si>
  <si>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</si>
  <si>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</si>
  <si>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</si>
  <si>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</si>
  <si>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</si>
  <si>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</si>
  <si>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</si>
  <si>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</si>
  <si>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</si>
  <si>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</si>
  <si>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</si>
  <si>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</si>
  <si>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</si>
  <si>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</si>
  <si>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</si>
  <si>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</si>
  <si>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</si>
  <si>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</si>
  <si>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</si>
  <si>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</si>
  <si>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</si>
  <si>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</si>
  <si>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</si>
  <si>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</si>
  <si>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</si>
  <si>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</si>
  <si>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</si>
  <si>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</si>
  <si>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</si>
  <si>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</si>
  <si>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</si>
  <si>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</si>
  <si>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</si>
  <si>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</si>
  <si>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</si>
  <si>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5M3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</si>
  <si>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</si>
  <si>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</si>
  <si>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</si>
  <si>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</si>
  <si>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</si>
  <si>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</si>
  <si>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</si>
  <si>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</si>
  <si>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</si>
  <si>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</si>
  <si>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</si>
  <si>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2.其他設備：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</si>
  <si>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</si>
  <si>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</si>
  <si>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</si>
  <si>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</si>
  <si>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</si>
  <si>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</si>
  <si>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</si>
  <si>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</si>
  <si>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</si>
  <si>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</si>
  <si>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</si>
  <si>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</si>
  <si>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</si>
  <si>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</si>
  <si>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</si>
  <si>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</si>
  <si>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因場地設施租借收入不如預期。</t>
  </si>
  <si>
    <t>因專戶存款平均餘額超出預期。</t>
    <phoneticPr fontId="10" type="noConversion"/>
  </si>
  <si>
    <t>因預期外的代辦經費賸餘繳庫所致。</t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</si>
  <si>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</si>
  <si>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</si>
  <si>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</si>
  <si>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</si>
  <si>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</si>
  <si>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</si>
  <si>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</si>
  <si>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</si>
  <si>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</si>
  <si>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</si>
  <si>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</si>
  <si>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</si>
  <si>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</si>
  <si>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</si>
  <si>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</si>
  <si>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</si>
  <si>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</si>
  <si>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</si>
  <si>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</si>
  <si>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</si>
  <si>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</si>
  <si>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</si>
  <si>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退休及離職準備金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</si>
  <si>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</si>
  <si>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</si>
  <si>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</si>
  <si>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</si>
  <si>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</si>
  <si>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</si>
  <si>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</si>
  <si>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</si>
  <si>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</si>
  <si>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</si>
  <si>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</si>
  <si>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</si>
  <si>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</si>
  <si>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</si>
  <si>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</si>
  <si>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</si>
  <si>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</si>
  <si>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</si>
  <si>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</si>
  <si>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</si>
  <si>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</si>
  <si>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</si>
  <si>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</si>
  <si>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</si>
  <si>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</si>
  <si>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</si>
  <si>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</si>
  <si>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</si>
  <si>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</si>
  <si>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</si>
  <si>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</si>
  <si>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</si>
  <si>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</si>
  <si>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</si>
  <si>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</si>
  <si>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</si>
  <si>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</si>
  <si>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</si>
  <si>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</si>
  <si>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應付退休及離職金</t>
  </si>
  <si>
    <t>淨資產</t>
  </si>
  <si>
    <t>累積餘額</t>
  </si>
  <si>
    <t>本期短絀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</si>
  <si>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</si>
  <si>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</si>
  <si>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</si>
  <si>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</si>
  <si>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</si>
  <si>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</si>
  <si>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</si>
  <si>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</si>
  <si>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</si>
  <si>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280106</t>
  </si>
  <si>
    <t>3</t>
  </si>
  <si>
    <t>31</t>
  </si>
  <si>
    <t>3101</t>
  </si>
  <si>
    <t>310101</t>
  </si>
  <si>
    <t>310103</t>
  </si>
  <si>
    <t>310104</t>
  </si>
  <si>
    <t>俟業務單位提出需求後積極執行。</t>
    <phoneticPr fontId="10" type="noConversion"/>
  </si>
  <si>
    <t>擬於10月執行。</t>
    <phoneticPr fontId="10" type="noConversion"/>
  </si>
  <si>
    <t>預計購買之設備項目及金額皆有變動，調整分配至交通設備及雜項設備。</t>
    <phoneticPr fontId="10" type="noConversion"/>
  </si>
  <si>
    <t>預計購買之設備項目及金額皆有變動，自機械及設備調整分配。</t>
    <phoneticPr fontId="10" type="noConversion"/>
  </si>
  <si>
    <t>用人費用</t>
  </si>
  <si>
    <t>-14.15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</si>
  <si>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</si>
  <si>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</si>
  <si>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</si>
  <si>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</si>
  <si>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</si>
  <si>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</si>
  <si>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</si>
  <si>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</si>
  <si>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</si>
  <si>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</si>
  <si>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</si>
  <si>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</si>
  <si>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</si>
  <si>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</si>
  <si>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</si>
  <si>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</si>
  <si>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</si>
  <si>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</si>
  <si>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</si>
  <si>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</si>
  <si>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</si>
  <si>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</si>
  <si>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</si>
  <si>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</si>
  <si>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</si>
  <si>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</si>
  <si>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</si>
  <si>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</si>
  <si>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-33.07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</si>
  <si>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</si>
  <si>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</si>
  <si>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</si>
  <si>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</si>
  <si>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</si>
  <si>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</si>
  <si>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</si>
  <si>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</si>
  <si>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</si>
  <si>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</si>
  <si>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</si>
  <si>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</si>
  <si>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</si>
  <si>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</si>
  <si>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</si>
  <si>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</si>
  <si>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</si>
  <si>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</si>
  <si>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</si>
  <si>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</si>
  <si>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</si>
  <si>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</si>
  <si>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</si>
  <si>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</si>
  <si>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</si>
  <si>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</si>
  <si>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</si>
  <si>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</si>
  <si>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</si>
  <si>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</si>
  <si>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</si>
  <si>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</si>
  <si>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</si>
  <si>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</si>
  <si>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</si>
  <si>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</si>
  <si>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</si>
  <si>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</si>
  <si>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</si>
  <si>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</si>
  <si>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</si>
  <si>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</si>
  <si>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</si>
  <si>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</si>
  <si>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</si>
  <si>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</si>
  <si>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</si>
  <si>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</si>
  <si>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</si>
  <si>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</si>
  <si>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</si>
  <si>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</si>
  <si>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-51.78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</si>
  <si>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</si>
  <si>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</si>
  <si>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</si>
  <si>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</si>
  <si>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</si>
  <si>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</si>
  <si>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</si>
  <si>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</si>
  <si>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</si>
  <si>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</si>
  <si>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</si>
  <si>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</si>
  <si>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</si>
  <si>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</si>
  <si>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-50.59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</si>
  <si>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</si>
  <si>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</si>
  <si>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</si>
  <si>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</si>
  <si>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</si>
  <si>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-39.00</t>
  </si>
  <si>
    <t>51</t>
  </si>
  <si>
    <t>購建固定資產</t>
  </si>
  <si>
    <t>514</t>
  </si>
  <si>
    <t>購置機械及設備</t>
  </si>
  <si>
    <t>-100.00</t>
  </si>
  <si>
    <t>515</t>
  </si>
  <si>
    <t>購置交通及運輸設備</t>
  </si>
  <si>
    <t>-36.00</t>
  </si>
  <si>
    <t>516</t>
  </si>
  <si>
    <t>購置雜項設備</t>
  </si>
  <si>
    <t>80.00</t>
  </si>
  <si>
    <t>7</t>
  </si>
  <si>
    <t>會費、捐助、補助、分攤、照護、救濟與交流活動費</t>
  </si>
  <si>
    <t>-18.68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</si>
  <si>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</si>
  <si>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</si>
  <si>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</si>
  <si>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</si>
  <si>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</si>
  <si>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</si>
  <si>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</si>
  <si>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</si>
  <si>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</si>
  <si>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</si>
  <si>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</si>
  <si>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</si>
  <si>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</si>
  <si>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-67.19</t>
  </si>
  <si>
    <t>91</t>
  </si>
  <si>
    <t>其他支出</t>
  </si>
  <si>
    <t>91Y</t>
  </si>
  <si>
    <t>合       計</t>
  </si>
  <si>
    <t>-14.90</t>
  </si>
  <si>
    <t>單位:新臺幣元</t>
    <phoneticPr fontId="10" type="noConversion"/>
  </si>
  <si>
    <t>11353012280030100</t>
  </si>
  <si>
    <t>地方教育發展基金</t>
  </si>
  <si>
    <t/>
  </si>
  <si>
    <t>上期結餘</t>
  </si>
  <si>
    <t>113/09/03</t>
  </si>
  <si>
    <t>00100</t>
  </si>
  <si>
    <t>0900580</t>
  </si>
  <si>
    <t>支付數</t>
  </si>
  <si>
    <t>113/09/04</t>
  </si>
  <si>
    <t>00099</t>
  </si>
  <si>
    <t>0900928</t>
  </si>
  <si>
    <t>00101</t>
  </si>
  <si>
    <t>0900930</t>
  </si>
  <si>
    <t>00102</t>
  </si>
  <si>
    <t>0900931</t>
  </si>
  <si>
    <t>113/09/05</t>
  </si>
  <si>
    <t>00103</t>
  </si>
  <si>
    <t>0901273</t>
  </si>
  <si>
    <t>00104</t>
  </si>
  <si>
    <t>0901274</t>
  </si>
  <si>
    <t>00105</t>
  </si>
  <si>
    <t>0901275</t>
  </si>
  <si>
    <t>113/09/06</t>
  </si>
  <si>
    <t>00106</t>
  </si>
  <si>
    <t>0901656</t>
  </si>
  <si>
    <t>113/09/11</t>
  </si>
  <si>
    <t>00107</t>
  </si>
  <si>
    <t>0902651</t>
  </si>
  <si>
    <t>00108</t>
  </si>
  <si>
    <t>0902652</t>
  </si>
  <si>
    <t>113/09/12</t>
  </si>
  <si>
    <t>00109</t>
  </si>
  <si>
    <t>0902988</t>
  </si>
  <si>
    <t>113/09/13</t>
  </si>
  <si>
    <t>00110</t>
  </si>
  <si>
    <t>0903290</t>
  </si>
  <si>
    <t>113/09/20</t>
  </si>
  <si>
    <t>13998530173346</t>
  </si>
  <si>
    <t>收入數</t>
  </si>
  <si>
    <t>113/09/24</t>
  </si>
  <si>
    <t>00112</t>
  </si>
  <si>
    <t>0904756</t>
  </si>
  <si>
    <t>113/09/26</t>
  </si>
  <si>
    <t>13993630173726</t>
  </si>
  <si>
    <t>00113</t>
  </si>
  <si>
    <t>0905625</t>
  </si>
  <si>
    <t>113/09/30</t>
  </si>
  <si>
    <t>00111</t>
  </si>
  <si>
    <t>0904948</t>
  </si>
  <si>
    <t>00114</t>
  </si>
  <si>
    <t>0905494</t>
  </si>
  <si>
    <t>00115</t>
  </si>
  <si>
    <t>0905495</t>
  </si>
  <si>
    <t>小計</t>
  </si>
  <si>
    <t>總和 :</t>
  </si>
  <si>
    <t>Z00032  存入保證金-保固金-M11310-英資中心設計裝修工程-艾德蒙1140731</t>
  </si>
  <si>
    <t>Z00031  存入保證金-保固金-M11008高爾夫球教學設備-宏和安全網公司1120809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</si>
  <si>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</si>
  <si>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</si>
  <si>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</si>
  <si>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</si>
  <si>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</si>
  <si>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</si>
  <si>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Z00024  存入保證金-保固金-忠孝樓和信義樓樓梯牆面嚴重龜裂工程-健峰土木1121109</t>
  </si>
  <si>
    <t>Z00023  存入保證金-保固金-m11107音樂班設備採-全方位樂器1140405</t>
  </si>
  <si>
    <t>Z00022  存入保證金-保固金-活動中心冷凍空調工程-統良空調114.11.01</t>
  </si>
  <si>
    <t>Z00021  存入保證金-保固金-中小學電腦教室貓咪盃設備-國眾電腦股份有限公司1120823</t>
  </si>
  <si>
    <t>Z00020  存入保證金-保固金-幼兒園2歲專班設備採購-宏菖文教1130811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</si>
  <si>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</si>
  <si>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</si>
  <si>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</si>
  <si>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</si>
  <si>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Z00015  存入保證金-保固金-M11005民生兒童遊戲場改善-宏菖文教企業社1130815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</si>
  <si>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</si>
  <si>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</si>
  <si>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</si>
  <si>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</si>
  <si>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Z00010  存入保證金-保固金-m110高爾夫設備採購-宏菖文教113.11.03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</si>
  <si>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</si>
  <si>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</si>
  <si>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Z00007  存入保證金-保固金-11108數位攝影機等資本門-欣聯電腦</t>
  </si>
  <si>
    <t>Z00006  存入保證金-保固金-學生課桌採購-合青企業112.11.251</t>
  </si>
  <si>
    <t>Z00005  存入保證金-保固金-英資中心整修工程-憶昇土木包工業1140724</t>
  </si>
  <si>
    <t>Z00004  存入保證金-保固金-智慧學習教室設備採購案資訊應用控制設-華禹數位1121222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</si>
  <si>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</si>
  <si>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</si>
  <si>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</si>
  <si>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Y00033  存入保證金-履約保證金-M11310-英資中心設計裝修工程-艾德蒙</t>
  </si>
  <si>
    <t>Y00032  存入保證金-履約保證金-民生門整建工程履約保證金-丞裕</t>
  </si>
  <si>
    <t>Y00031  存入保證金-履約保證金-充實圖書聯合採購-聯寶國際</t>
  </si>
  <si>
    <t>Y00030  存入保證金-履約保證金-m11305B英資中心設備採購-宏菖</t>
  </si>
  <si>
    <t>Y00006  存入保證金-履約保證金-m11305A英資中心設備採購-宏菖</t>
  </si>
  <si>
    <t>Y00005  存入保證金-履約保證金-m11218陽明門球場整建工程-金元順</t>
  </si>
  <si>
    <t>Y00004  存入保證金-履約保證金-m11304雙語環境教室設備-宏菖文教</t>
  </si>
  <si>
    <t>Y00003  存入保證金-履約保證金-m11217民生國小藝術才能班設備採購-全方位樂器</t>
  </si>
  <si>
    <t>Y00002  存入保證金-履約保證金-發電機採購-尚品消防</t>
  </si>
  <si>
    <t>P00003  應付代收款-其他項目-學生以外之自付校外教學費用</t>
  </si>
  <si>
    <t>P00002  應付代收款-其他項目-教職員午餐費</t>
  </si>
  <si>
    <t>P00001  應付代收款-其他項目-其他</t>
  </si>
  <si>
    <t>NA0007  應付代收款-繳庫項目-一般捐贈</t>
  </si>
  <si>
    <t>NA0006  應付代收款-繳庫項目-財產報廢收入</t>
  </si>
  <si>
    <t>NA0005  應付代收款-繳庫項目-資源回收獎勵金</t>
  </si>
  <si>
    <t>NA0004  應付代收款-繳庫項目-各項考試報名費</t>
  </si>
  <si>
    <t>NA0003  應付代收款-繳庫項目-招標文件費</t>
  </si>
  <si>
    <t>NA0002  應付代收款-繳庫項目-專戶利息</t>
  </si>
  <si>
    <t>NA0001  應付代收款-繳庫項目-場地設施使用費</t>
  </si>
  <si>
    <t>MB0004  應付代收款-指定用途捐款-蕭惠姿捐助冷氣移機費用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</si>
  <si>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</si>
  <si>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</si>
  <si>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</si>
  <si>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MA0007  應付代收款-指定用途捐款-學生急難救助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</si>
  <si>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</si>
  <si>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</si>
  <si>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</si>
  <si>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</si>
  <si>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</si>
  <si>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</si>
  <si>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</si>
  <si>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</si>
  <si>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</si>
  <si>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</si>
  <si>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</si>
  <si>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</si>
  <si>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IF0001  應付代收款-各項補助經費-會計室選委會兼職費</t>
  </si>
  <si>
    <t>IE0008  應付代收款-各項補助經費-英資中心各項設備採購</t>
  </si>
  <si>
    <t>IE0003  應付代收款-各項補助經費-英資中心-運作計畫經費預撥</t>
  </si>
  <si>
    <t>IE0002  應付代收款-各項補助經費-英資中心-各項計畫</t>
  </si>
  <si>
    <t>IE0001  應付代收款-各項補助經費-英資中心-業務費</t>
  </si>
  <si>
    <t>ID0008  應付代收款-各項補助經費-總務處-公立國中小學班班有冷氣電費及維護費經費</t>
  </si>
  <si>
    <t>ID0007  應付代收款-國有土地被占用之使用補償金</t>
  </si>
  <si>
    <t>ID0006  應付代收款-各項補助經費-總務處-張家齊法院執行款</t>
  </si>
  <si>
    <t>ID0005  應付代收款-各項補助經費-總務處-教育部非營利幼兒園業務經費</t>
  </si>
  <si>
    <t>ID0004  應付代收款-各項補助經費-總務處各項採購</t>
  </si>
  <si>
    <t>ID0002  應付代收款-各項補助經費-總務處各項計畫</t>
  </si>
  <si>
    <t>ID0001  應付代收款-各項補助經費-總務處各項工程</t>
  </si>
  <si>
    <t>ID0000  應付代收款-各項補助經費-總務處</t>
  </si>
  <si>
    <t>IC0015  應付代收款-各項補助經費-輔導室-藝術才能班教師專業學習社群計畫</t>
  </si>
  <si>
    <t>IC0014  應付代收款-各項補助經費-輔導室-藝術才能班外聘兼任教師及代課教師鐘點費</t>
  </si>
  <si>
    <t>IC0007  應付代收款-各項補助經費-輔導室-智慧菓雜誌</t>
  </si>
  <si>
    <t>IC0005  應付代收款-各項補助經費-輔導室-輔導團輔導員代課費</t>
  </si>
  <si>
    <t>IC0004  應付代收款-各項補助經費-輔導室-資優方案</t>
  </si>
  <si>
    <t>IC0001  應付代收款-各項補助經費-輔導室各項計畫</t>
  </si>
  <si>
    <t>IC0000  應付代收款-各項補助經費-輔導室</t>
  </si>
  <si>
    <t>IB0011  應付代收款-各項補助經費-學務處各項體育計畫</t>
  </si>
  <si>
    <t>IB0010  應付代收款-各項補助經費-學務處-足球世界盃補助計畫預撥</t>
  </si>
  <si>
    <t>IB0009  應付代收款-各項補助經費-學務處-健康中心各項計畫</t>
  </si>
  <si>
    <t>IB0007  應付代收款-各項補助經費-學務處-學生營養午餐</t>
  </si>
  <si>
    <t>IB0005  應付代收款-各項補助經費-學務處-1元慢跑校園動起來計畫</t>
  </si>
  <si>
    <t>IB0004  應付代收款-各項補助經費-學務處申請各項戶外教育</t>
  </si>
  <si>
    <t>IB0003  應付代收款-各項補助經費-學生多元活動</t>
  </si>
  <si>
    <t>IB0002  應付代收款-各項補助經費-學務處-午餐廠商分攤電梯維護費</t>
  </si>
  <si>
    <t>IB0001  應付代收款-各項補助經費-學務處各項計畫</t>
  </si>
  <si>
    <t>IA0025  應付代收款-各項補助經費-教務處-學習扶助實施方案</t>
  </si>
  <si>
    <t>IA0021  應付代收款-各項補助經費-教務處-新住民語開課經費</t>
  </si>
  <si>
    <t>IA0017  應付代收款-各項補助經費-教務處-原住民語協同人員經費</t>
  </si>
  <si>
    <t>IA0015  應付代收款-各項補助經費-教務處-輔導團差旅費</t>
  </si>
  <si>
    <t>IA0014  應付代收款-各項補助經費-教務處-督學業務視導行政計畫預撥</t>
  </si>
  <si>
    <t>IA0013  應付代收款-各項補助經費-教務處-姊妹校互惠機制實施計畫</t>
  </si>
  <si>
    <t>IA0010  應付代收款-各項補助經費-教務處-英語展能樂學計畫</t>
  </si>
  <si>
    <t>IA0008  應付代收款-各項補助經費-教務處-教科書補助(學校及學生用書)</t>
  </si>
  <si>
    <t>IA0007  應付代收款-各項補助經費-教務處-國際教育精進計畫</t>
  </si>
  <si>
    <t>IA0006  應付代收款-各項補助經費-教務處-數位學習精進方案</t>
  </si>
  <si>
    <t>IA0005  應付代收款-各項補助經費-教務處-教專認證增能計畫預撥</t>
  </si>
  <si>
    <t>IA0004  應付代收款-各項補助經費-教務處-課後照顧班經費</t>
  </si>
  <si>
    <t>IA0003  應付代收款-各項補助經費-教務處各項計畫</t>
  </si>
  <si>
    <t>IA0002  應付代收款-各項補助經費-教務處-外籍教師行政業務費</t>
  </si>
  <si>
    <t>IA0001  應付代收款-各項補助經費-教務處各項研習</t>
  </si>
  <si>
    <t>H00011  應付代收款-學務處申請各項獎助學金-月蘭獎獎學金-林容安</t>
  </si>
  <si>
    <t>H00004  應付代收款-總務處申請各項獎助學金</t>
  </si>
  <si>
    <t>H00002  應付代收款-輔導室申請各項獎助學金</t>
  </si>
  <si>
    <t>H00001  應付代收款-教務處申請各項獎助學金</t>
  </si>
  <si>
    <t>G00021  應付代收款-社團活動-社團行政費</t>
  </si>
  <si>
    <t>G00020  應付代收款-社團活動-羽球</t>
  </si>
  <si>
    <t>G00019  應付代收款-社團活動-Dash程式機器人</t>
  </si>
  <si>
    <t>G00018  應付代收款-社團活動-太空教育培訓隊</t>
  </si>
  <si>
    <t>G00013  應付代收款-社團活動-高爾夫球培訓隊</t>
  </si>
  <si>
    <t>G00011  應付代收款-社團活動-兒童電腦程式設計</t>
  </si>
  <si>
    <t>G00009  應付代收款-社團活動-生物探索樂</t>
  </si>
  <si>
    <t>G00008  應付代收款-社團活動-流行音樂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</si>
  <si>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</si>
  <si>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</si>
  <si>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</si>
  <si>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</si>
  <si>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G00003  應付代收款-社團活動-兒童舞蹈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</si>
  <si>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</si>
  <si>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</si>
  <si>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</si>
  <si>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</si>
  <si>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</si>
  <si>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</si>
  <si>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</si>
  <si>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</si>
  <si>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</si>
  <si>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</si>
  <si>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</si>
  <si>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</si>
  <si>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</si>
  <si>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</si>
  <si>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</si>
  <si>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</si>
  <si>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</si>
  <si>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</si>
  <si>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</si>
  <si>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</si>
  <si>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</si>
  <si>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</si>
  <si>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</si>
  <si>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</si>
  <si>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</si>
  <si>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</si>
  <si>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</si>
  <si>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</si>
  <si>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</si>
  <si>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</si>
  <si>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</si>
  <si>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</si>
  <si>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</si>
  <si>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</si>
  <si>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</si>
  <si>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</si>
  <si>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</si>
  <si>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</si>
  <si>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中華民國113年1月1日至113年9月30日</t>
  </si>
  <si>
    <t>代收代辦經費收支餘額表</t>
  </si>
  <si>
    <t>彰化縣地方教育發展基金－彰化縣彰化市民生國民小學</t>
  </si>
  <si>
    <t>122-1</t>
  </si>
  <si>
    <t>113學年度第1學期註冊費收入</t>
    <phoneticPr fontId="10" type="noConversion"/>
  </si>
  <si>
    <t>113年10月教職員工公保退撫-機補</t>
    <phoneticPr fontId="10" type="noConversion"/>
  </si>
  <si>
    <t>113年10月教職員工公保退撫-自付</t>
    <phoneticPr fontId="10" type="noConversion"/>
  </si>
  <si>
    <t>113年9月外師、約用護理師、身障臨員保費等-自付</t>
    <phoneticPr fontId="10" type="noConversion"/>
  </si>
  <si>
    <t>113年10月退休金及遺屬年金-賴明莉</t>
    <phoneticPr fontId="10" type="noConversion"/>
  </si>
  <si>
    <t>文化書坊吳佳蓉</t>
    <phoneticPr fontId="10" type="noConversion"/>
  </si>
  <si>
    <t>佳煜事務機器有限公司</t>
    <phoneticPr fontId="10" type="noConversion"/>
  </si>
  <si>
    <t>體操教練10月離職儲金</t>
    <phoneticPr fontId="10" type="noConversion"/>
  </si>
  <si>
    <t>榮進五金行</t>
    <phoneticPr fontId="10" type="noConversion"/>
  </si>
  <si>
    <t>KA9690751</t>
    <phoneticPr fontId="10" type="noConversion"/>
  </si>
  <si>
    <t>KB0163440</t>
    <phoneticPr fontId="10" type="noConversion"/>
  </si>
  <si>
    <t>KB0163480</t>
    <phoneticPr fontId="10" type="noConversion"/>
  </si>
  <si>
    <t>KB0163476</t>
    <phoneticPr fontId="10" type="noConversion"/>
  </si>
  <si>
    <t>KB0163478</t>
    <phoneticPr fontId="10" type="noConversion"/>
  </si>
  <si>
    <t>KB0165568</t>
    <phoneticPr fontId="10" type="noConversion"/>
  </si>
  <si>
    <t>彰化縣政府</t>
    <phoneticPr fontId="10" type="noConversion"/>
  </si>
  <si>
    <t>太空教育培訓社團鐘點費（二代健保325另列)汪資凱</t>
    <phoneticPr fontId="10" type="noConversion"/>
  </si>
  <si>
    <t>太空教育培訓社團鐘點費（二代健保369另列)汪資凱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</si>
  <si>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</si>
  <si>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>主辦會計</t>
    <phoneticPr fontId="24" type="noConversion"/>
  </si>
  <si>
    <t>13994630173828</t>
  </si>
  <si>
    <t xml:space="preserve"> 斯 </t>
    <phoneticPr fontId="10" type="noConversion"/>
  </si>
  <si>
    <t>516 購置雜項設備</t>
  </si>
  <si>
    <t>514 購置機械及設備</t>
  </si>
  <si>
    <t>5M4 其他設備</t>
  </si>
  <si>
    <t>515 購置交通及運輸設備</t>
  </si>
  <si>
    <t>5M3 交通及運輸設備</t>
  </si>
  <si>
    <t>5M 建築及設備計畫</t>
  </si>
  <si>
    <t>91Y 其他</t>
  </si>
  <si>
    <t>751 技能競賽</t>
  </si>
  <si>
    <t>744 慰問、照護及濟助金</t>
  </si>
  <si>
    <t>712 學術團體會費</t>
  </si>
  <si>
    <t>451 雜項設備租金</t>
  </si>
  <si>
    <t>32Y 其他用品消耗</t>
  </si>
  <si>
    <t>328 醫療用品(非醫療院所使用)</t>
  </si>
  <si>
    <t>323 農業與園藝用品及環境美化費</t>
  </si>
  <si>
    <t>322 報章雜誌</t>
  </si>
  <si>
    <t>321 辦公（事務）用品</t>
  </si>
  <si>
    <t>291 公共關係費</t>
  </si>
  <si>
    <t>28Y 其他專業服務費</t>
  </si>
  <si>
    <t>28A 電腦軟體服務費</t>
  </si>
  <si>
    <t>289 試務甄選費</t>
  </si>
  <si>
    <t>287 委託檢驗(定)試驗認證費</t>
  </si>
  <si>
    <t>285 講課鐘點、稿費、出席審查及查詢費</t>
  </si>
  <si>
    <t>27F 體育活動費</t>
  </si>
  <si>
    <t>27D 計時與計件人員酬金</t>
  </si>
  <si>
    <t>276 佣金、匯費、經理費及手續費</t>
  </si>
  <si>
    <t>257 雜項設備修護費</t>
  </si>
  <si>
    <t>256 交通及運輸設備修護費</t>
  </si>
  <si>
    <t>255 機械及設備修護費</t>
  </si>
  <si>
    <t>252 一般房屋修護費</t>
  </si>
  <si>
    <t>251 土地改良物修護費</t>
  </si>
  <si>
    <t>241 印刷及裝訂費</t>
  </si>
  <si>
    <t>231 國內旅費</t>
  </si>
  <si>
    <t>222 電話費</t>
  </si>
  <si>
    <t>221 郵費</t>
  </si>
  <si>
    <t>214 工作場所水費</t>
  </si>
  <si>
    <t>212 工作場所電費</t>
  </si>
  <si>
    <t>18Y 其他福利費</t>
  </si>
  <si>
    <t>181 分擔員工保險費</t>
  </si>
  <si>
    <t>162 工員退休及離職金</t>
  </si>
  <si>
    <t>161 職員退休及離職金</t>
  </si>
  <si>
    <t>152 年終獎金</t>
  </si>
  <si>
    <t>151 考績獎金</t>
  </si>
  <si>
    <t>134 未休假加班費</t>
  </si>
  <si>
    <t>131 延長工時加班費</t>
  </si>
  <si>
    <t>124 兼職人員酬金</t>
  </si>
  <si>
    <t>114 工員工資</t>
  </si>
  <si>
    <t>113 職員薪金</t>
  </si>
  <si>
    <t>532 國民小學教育</t>
  </si>
  <si>
    <t>53 國民教育計畫</t>
  </si>
  <si>
    <t>5 基金用途</t>
  </si>
  <si>
    <t>簽證總數</t>
  </si>
  <si>
    <t>截至本月止歲出分配數(B)</t>
  </si>
  <si>
    <t>全年度預算數(A)</t>
  </si>
  <si>
    <t>預算數餘額(含已簽證尚未支付)(H)=(G)-(E)</t>
  </si>
  <si>
    <t>預算數餘額(含扣除未過帳)
(G)=(F)-(D)</t>
  </si>
  <si>
    <t>預算數餘額(含已過帳)(F)=(A)-(C)</t>
  </si>
  <si>
    <t>中華民國113年1月1日至113年10月31日</t>
  </si>
  <si>
    <t>預算執行餘額表</t>
  </si>
  <si>
    <t>尚需經費</t>
    <phoneticPr fontId="10" type="noConversion"/>
  </si>
  <si>
    <t>預算餘絀</t>
    <phoneticPr fontId="10" type="noConversion"/>
  </si>
  <si>
    <t>每月預估支出</t>
    <phoneticPr fontId="10" type="noConversion"/>
  </si>
  <si>
    <t>校事事件預留數</t>
    <phoneticPr fontId="10" type="noConversion"/>
  </si>
  <si>
    <t>收支對列不足數</t>
    <phoneticPr fontId="10" type="noConversion"/>
  </si>
  <si>
    <t>預計餘數</t>
    <phoneticPr fontId="10" type="noConversion"/>
  </si>
  <si>
    <t>已列印網銀當月明細表並核對餘額正確後併入當月會計報告，對帳單陳閱後存查。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</si>
</sst>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21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rgb="FFFF0000"/>
      <name val="ARIAL"/>
      <family val="2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0"/>
      <color indexed="8"/>
      <name val="新細明體-ExtB"/>
      <family val="1"/>
      <charset val="136"/>
    </font>
    <font>
      <sz val="10"/>
      <name val="新細明體-ExtB"/>
      <family val="1"/>
      <charset val="136"/>
    </font>
    <font>
      <sz val="11"/>
      <color rgb="FFFF0000"/>
      <name val="新細明體"/>
      <family val="1"/>
      <charset val="136"/>
    </font>
    <font>
      <sz val="10"/>
      <color rgb="FF000000"/>
      <name val="微軟正黑體"/>
      <family val="2"/>
      <charset val="136"/>
    </font>
    <font>
      <sz val="10"/>
      <color rgb="FF000000"/>
      <name val="Microsoft JhengHei"/>
      <family val="2"/>
      <charset val="136"/>
    </font>
    <font>
      <b/>
      <sz val="10"/>
      <color indexed="8"/>
      <name val="ARIAL"/>
      <family val="2"/>
    </font>
    <font>
      <b/>
      <sz val="10"/>
      <color rgb="FF000000"/>
      <name val="Microsoft JhengHei"/>
      <family val="2"/>
      <charset val="136"/>
    </font>
    <font>
      <sz val="10"/>
      <color rgb="FF000000"/>
      <name val="細明體"/>
      <family val="2"/>
      <charset val="136"/>
    </font>
  </fonts>
  <fills count="1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84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49" fontId="62" fillId="0" borderId="0" xfId="3" applyNumberFormat="1" applyFont="1">
      <alignment vertical="center"/>
    </xf>
    <xf numFmtId="0" fontId="62" fillId="0" borderId="0" xfId="3" applyFont="1">
      <alignment vertical="center"/>
    </xf>
    <xf numFmtId="177" fontId="65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7" fillId="0" borderId="0" xfId="7" applyNumberFormat="1" applyFont="1">
      <alignment vertical="top"/>
    </xf>
    <xf numFmtId="0" fontId="68" fillId="0" borderId="0" xfId="1" applyFont="1">
      <alignment vertical="top"/>
    </xf>
    <xf numFmtId="177" fontId="71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3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4" fillId="0" borderId="10" xfId="0" applyFont="1" applyBorder="1">
      <alignment vertical="top"/>
    </xf>
    <xf numFmtId="0" fontId="74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7" fillId="0" borderId="0" xfId="7" applyNumberFormat="1" applyFont="1">
      <alignment vertical="top"/>
    </xf>
    <xf numFmtId="3" fontId="76" fillId="0" borderId="0" xfId="1" applyNumberFormat="1" applyFont="1">
      <alignment vertical="top"/>
    </xf>
    <xf numFmtId="3" fontId="78" fillId="0" borderId="0" xfId="1" applyNumberFormat="1" applyFont="1">
      <alignment vertical="top"/>
    </xf>
    <xf numFmtId="177" fontId="78" fillId="0" borderId="0" xfId="1" applyNumberFormat="1" applyFont="1">
      <alignment vertical="top"/>
    </xf>
    <xf numFmtId="180" fontId="76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6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9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0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0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80" fillId="0" borderId="1" xfId="7" applyNumberFormat="1" applyFont="1" applyBorder="1" applyAlignment="1">
      <alignment wrapText="1"/>
    </xf>
    <xf numFmtId="177" fontId="80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80" fillId="0" borderId="1" xfId="7" applyNumberFormat="1" applyFont="1" applyBorder="1" applyAlignment="1" applyProtection="1">
      <alignment horizontal="right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80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0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1" fillId="0" borderId="0" xfId="7" applyNumberFormat="1" applyFont="1" applyAlignment="1" applyProtection="1">
      <protection locked="0"/>
    </xf>
    <xf numFmtId="0" fontId="81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1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2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4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12" xfId="0" applyBorder="1">
      <alignment vertical="top"/>
    </xf>
    <xf numFmtId="0" fontId="83" fillId="0" borderId="0" xfId="1" applyFont="1">
      <alignment vertical="top"/>
    </xf>
    <xf numFmtId="177" fontId="83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3" fillId="0" borderId="6" xfId="0" applyFont="1" applyBorder="1">
      <alignment vertical="top"/>
    </xf>
    <xf numFmtId="0" fontId="7" fillId="0" borderId="0" xfId="1" applyFont="1">
      <alignment vertical="top"/>
    </xf>
    <xf numFmtId="177" fontId="85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62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7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9" fillId="0" borderId="0" xfId="7" applyNumberFormat="1" applyFont="1" applyFill="1">
      <alignment vertical="top"/>
    </xf>
    <xf numFmtId="177" fontId="90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8" fillId="0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8" fillId="9" borderId="11" xfId="7" applyNumberFormat="1" applyFont="1" applyFill="1" applyBorder="1" applyAlignment="1">
      <alignment vertical="top"/>
    </xf>
    <xf numFmtId="176" fontId="88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77" fontId="91" fillId="0" borderId="1" xfId="7" applyNumberFormat="1" applyFont="1" applyFill="1" applyBorder="1" applyAlignment="1">
      <alignment horizontal="center" vertical="top"/>
    </xf>
    <xf numFmtId="180" fontId="92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89" fillId="0" borderId="0" xfId="7" applyNumberFormat="1" applyFont="1" applyFill="1" applyAlignment="1">
      <alignment horizontal="right" vertical="top"/>
    </xf>
    <xf numFmtId="0" fontId="94" fillId="0" borderId="0" xfId="0" applyFont="1">
      <alignment vertical="top"/>
    </xf>
    <xf numFmtId="180" fontId="91" fillId="0" borderId="13" xfId="7" applyNumberFormat="1" applyFont="1" applyFill="1" applyBorder="1" applyAlignment="1">
      <alignment horizontal="center" vertical="top"/>
    </xf>
    <xf numFmtId="180" fontId="91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1" fillId="0" borderId="15" xfId="7" applyNumberFormat="1" applyFont="1" applyFill="1" applyBorder="1" applyAlignment="1">
      <alignment horizontal="right" vertical="top"/>
    </xf>
    <xf numFmtId="177" fontId="80" fillId="7" borderId="13" xfId="7" applyNumberFormat="1" applyFont="1" applyFill="1" applyBorder="1" applyAlignment="1" applyProtection="1">
      <alignment horizontal="right"/>
      <protection locked="0"/>
    </xf>
    <xf numFmtId="0" fontId="96" fillId="0" borderId="13" xfId="0" applyFont="1" applyBorder="1" applyAlignment="1" applyProtection="1">
      <protection locked="0"/>
    </xf>
    <xf numFmtId="0" fontId="96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7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4" fillId="0" borderId="0" xfId="0" applyFont="1" applyAlignment="1">
      <alignment horizontal="left" vertical="top"/>
    </xf>
    <xf numFmtId="0" fontId="98" fillId="0" borderId="0" xfId="0" applyFont="1" applyAlignment="1" applyProtection="1">
      <protection locked="0"/>
    </xf>
    <xf numFmtId="0" fontId="98" fillId="0" borderId="0" xfId="0" applyFont="1" applyAlignment="1" applyProtection="1">
      <alignment horizontal="left"/>
      <protection locked="0"/>
    </xf>
    <xf numFmtId="177" fontId="99" fillId="0" borderId="0" xfId="7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protection locked="0"/>
    </xf>
    <xf numFmtId="180" fontId="101" fillId="0" borderId="0" xfId="0" applyNumberFormat="1" applyFont="1" applyAlignment="1" applyProtection="1">
      <protection locked="0"/>
    </xf>
    <xf numFmtId="0" fontId="101" fillId="0" borderId="0" xfId="0" applyFont="1" applyAlignment="1" applyProtection="1">
      <protection locked="0"/>
    </xf>
    <xf numFmtId="0" fontId="100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alignment horizontal="right"/>
      <protection locked="0"/>
    </xf>
    <xf numFmtId="0" fontId="100" fillId="0" borderId="0" xfId="0" applyFont="1" applyAlignment="1" applyProtection="1">
      <alignment horizont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177" fontId="8" fillId="11" borderId="5" xfId="7" applyNumberFormat="1" applyFont="1" applyFill="1" applyBorder="1">
      <alignment vertical="top"/>
    </xf>
    <xf numFmtId="3" fontId="17" fillId="11" borderId="4" xfId="0" applyNumberFormat="1" applyFont="1" applyFill="1" applyBorder="1" applyAlignment="1">
      <alignment horizontal="right" vertical="top" wrapText="1"/>
    </xf>
    <xf numFmtId="3" fontId="17" fillId="11" borderId="3" xfId="0" applyNumberFormat="1" applyFont="1" applyFill="1" applyBorder="1" applyAlignment="1">
      <alignment horizontal="right" vertical="top" wrapText="1"/>
    </xf>
    <xf numFmtId="176" fontId="8" fillId="11" borderId="5" xfId="7" applyNumberFormat="1" applyFont="1" applyFill="1" applyBorder="1" applyAlignment="1">
      <alignment horizontal="right" vertical="top"/>
    </xf>
    <xf numFmtId="3" fontId="8" fillId="11" borderId="4" xfId="0" applyNumberFormat="1" applyFont="1" applyFill="1" applyBorder="1" applyAlignment="1">
      <alignment horizontal="right" vertical="top"/>
    </xf>
    <xf numFmtId="3" fontId="8" fillId="11" borderId="3" xfId="0" applyNumberFormat="1" applyFont="1" applyFill="1" applyBorder="1" applyAlignment="1">
      <alignment horizontal="right" vertical="top"/>
    </xf>
    <xf numFmtId="176" fontId="8" fillId="11" borderId="3" xfId="0" applyNumberFormat="1" applyFont="1" applyFill="1" applyBorder="1" applyAlignment="1">
      <alignment horizontal="right" vertical="top"/>
    </xf>
    <xf numFmtId="177" fontId="0" fillId="11" borderId="0" xfId="7" applyNumberFormat="1" applyFont="1" applyFill="1">
      <alignment vertical="top"/>
    </xf>
    <xf numFmtId="0" fontId="8" fillId="11" borderId="6" xfId="0" applyFont="1" applyFill="1" applyBorder="1" applyAlignment="1">
      <alignment horizontal="left" vertical="top" wrapText="1"/>
    </xf>
    <xf numFmtId="3" fontId="17" fillId="11" borderId="6" xfId="0" applyNumberFormat="1" applyFont="1" applyFill="1" applyBorder="1" applyAlignment="1">
      <alignment horizontal="right" vertical="top" wrapText="1"/>
    </xf>
    <xf numFmtId="3" fontId="17" fillId="11" borderId="0" xfId="0" applyNumberFormat="1" applyFont="1" applyFill="1" applyAlignment="1">
      <alignment horizontal="right" vertical="top" wrapText="1"/>
    </xf>
    <xf numFmtId="176" fontId="8" fillId="11" borderId="7" xfId="7" applyNumberFormat="1" applyFont="1" applyFill="1" applyBorder="1" applyAlignment="1">
      <alignment horizontal="right" vertical="top"/>
    </xf>
    <xf numFmtId="3" fontId="8" fillId="11" borderId="6" xfId="0" applyNumberFormat="1" applyFont="1" applyFill="1" applyBorder="1" applyAlignment="1">
      <alignment horizontal="right" vertical="top"/>
    </xf>
    <xf numFmtId="3" fontId="8" fillId="11" borderId="0" xfId="0" applyNumberFormat="1" applyFont="1" applyFill="1" applyAlignment="1">
      <alignment horizontal="right" vertical="top"/>
    </xf>
    <xf numFmtId="176" fontId="8" fillId="11" borderId="0" xfId="0" applyNumberFormat="1" applyFont="1" applyFill="1" applyAlignment="1">
      <alignment horizontal="righ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11" borderId="6" xfId="0" applyFont="1" applyFill="1" applyBorder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6" xfId="0" applyFill="1" applyBorder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8" fillId="11" borderId="0" xfId="0" applyFont="1" applyFill="1">
      <alignment vertical="top"/>
    </xf>
    <xf numFmtId="177" fontId="8" fillId="11" borderId="0" xfId="7" applyNumberFormat="1" applyFont="1" applyFill="1" applyBorder="1" applyAlignment="1">
      <alignment vertical="top"/>
    </xf>
    <xf numFmtId="177" fontId="8" fillId="11" borderId="7" xfId="7" applyNumberFormat="1" applyFont="1" applyFill="1" applyBorder="1" applyAlignment="1">
      <alignment vertical="top"/>
    </xf>
    <xf numFmtId="0" fontId="0" fillId="11" borderId="0" xfId="0" applyFill="1">
      <alignment vertical="top"/>
    </xf>
    <xf numFmtId="176" fontId="8" fillId="11" borderId="7" xfId="7" applyNumberFormat="1" applyFont="1" applyFill="1" applyBorder="1" applyAlignment="1">
      <alignment vertical="top"/>
    </xf>
    <xf numFmtId="176" fontId="8" fillId="11" borderId="0" xfId="0" applyNumberFormat="1" applyFont="1" applyFill="1">
      <alignment vertical="top"/>
    </xf>
    <xf numFmtId="177" fontId="0" fillId="11" borderId="7" xfId="7" applyNumberFormat="1" applyFont="1" applyFill="1" applyBorder="1" applyAlignment="1">
      <alignment vertical="top"/>
    </xf>
    <xf numFmtId="0" fontId="8" fillId="11" borderId="0" xfId="0" applyFont="1" applyFill="1" applyAlignment="1">
      <alignment horizontal="left" vertical="top"/>
    </xf>
    <xf numFmtId="177" fontId="8" fillId="11" borderId="0" xfId="7" applyNumberFormat="1" applyFont="1" applyFill="1" applyBorder="1" applyAlignment="1">
      <alignment horizontal="left" vertical="top"/>
    </xf>
    <xf numFmtId="177" fontId="8" fillId="11" borderId="7" xfId="7" applyNumberFormat="1" applyFont="1" applyFill="1" applyBorder="1" applyAlignment="1">
      <alignment horizontal="left"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2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5" fillId="0" borderId="0" xfId="0" applyFont="1">
      <alignment vertical="top"/>
    </xf>
    <xf numFmtId="0" fontId="83" fillId="0" borderId="0" xfId="0" applyFont="1">
      <alignment vertical="top"/>
    </xf>
    <xf numFmtId="0" fontId="83" fillId="0" borderId="0" xfId="0" applyFont="1" applyAlignment="1">
      <alignment horizontal="center" vertical="top"/>
    </xf>
    <xf numFmtId="0" fontId="105" fillId="0" borderId="0" xfId="0" applyFont="1" applyAlignment="1">
      <alignment vertical="center"/>
    </xf>
    <xf numFmtId="0" fontId="106" fillId="0" borderId="0" xfId="0" applyFont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07" fillId="0" borderId="0" xfId="0" applyFont="1" applyAlignment="1">
      <alignment horizontal="center" vertical="top"/>
    </xf>
    <xf numFmtId="176" fontId="108" fillId="0" borderId="3" xfId="0" applyNumberFormat="1" applyFont="1" applyBorder="1">
      <alignment vertical="top"/>
    </xf>
    <xf numFmtId="0" fontId="0" fillId="0" borderId="0" xfId="0">
      <alignment vertical="top"/>
    </xf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180" fontId="94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8" fillId="0" borderId="8" xfId="1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49" fontId="53" fillId="0" borderId="0" xfId="3" applyNumberFormat="1" applyFont="1">
      <alignment vertical="center"/>
    </xf>
    <xf numFmtId="0" fontId="53" fillId="0" borderId="0" xfId="3" applyFont="1">
      <alignment vertical="center"/>
    </xf>
    <xf numFmtId="180" fontId="90" fillId="0" borderId="0" xfId="7" applyNumberFormat="1" applyFont="1">
      <alignment vertical="top"/>
    </xf>
    <xf numFmtId="180" fontId="103" fillId="4" borderId="0" xfId="7" applyNumberFormat="1" applyFont="1" applyFill="1">
      <alignment vertical="top"/>
    </xf>
    <xf numFmtId="3" fontId="109" fillId="0" borderId="0" xfId="0" applyNumberFormat="1" applyFont="1" applyAlignment="1">
      <alignment horizontal="right" vertical="top"/>
    </xf>
    <xf numFmtId="0" fontId="110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90" fillId="0" borderId="0" xfId="0" applyFont="1">
      <alignment vertical="top"/>
    </xf>
    <xf numFmtId="0" fontId="90" fillId="13" borderId="0" xfId="0" applyFont="1" applyFill="1">
      <alignment vertical="top"/>
    </xf>
    <xf numFmtId="0" fontId="90" fillId="14" borderId="0" xfId="0" applyFont="1" applyFill="1">
      <alignment vertical="top"/>
    </xf>
    <xf numFmtId="3" fontId="90" fillId="14" borderId="0" xfId="0" applyNumberFormat="1" applyFon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90" fillId="15" borderId="0" xfId="0" applyFon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90" fillId="16" borderId="0" xfId="0" applyFont="1" applyFill="1">
      <alignment vertical="top"/>
    </xf>
    <xf numFmtId="3" fontId="90" fillId="15" borderId="0" xfId="0" applyNumberFormat="1" applyFont="1" applyFill="1">
      <alignment vertical="top"/>
    </xf>
    <xf numFmtId="3" fontId="90" fillId="16" borderId="0" xfId="0" applyNumberFormat="1" applyFon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0" fontId="90" fillId="17" borderId="0" xfId="0" applyFont="1" applyFill="1">
      <alignment vertical="top"/>
    </xf>
    <xf numFmtId="3" fontId="90" fillId="17" borderId="0" xfId="0" applyNumberFormat="1" applyFont="1" applyFill="1">
      <alignment vertical="top"/>
    </xf>
    <xf numFmtId="3" fontId="46" fillId="0" borderId="1" xfId="0" applyNumberFormat="1" applyFont="1" applyBorder="1" applyAlignment="1">
      <alignment vertical="top" wrapText="1"/>
    </xf>
    <xf numFmtId="180" fontId="113" fillId="0" borderId="0" xfId="7" applyNumberFormat="1" applyFont="1" applyAlignment="1" applyProtection="1">
      <alignment horizontal="center" vertical="center"/>
      <protection locked="0"/>
    </xf>
    <xf numFmtId="0" fontId="114" fillId="0" borderId="0" xfId="0" applyFont="1" applyAlignment="1" applyProtection="1">
      <alignment horizontal="left"/>
      <protection locked="0"/>
    </xf>
    <xf numFmtId="180" fontId="114" fillId="0" borderId="0" xfId="7" applyNumberFormat="1" applyFont="1" applyAlignment="1" applyProtection="1">
      <alignment horizontal="center"/>
      <protection locked="0"/>
    </xf>
    <xf numFmtId="177" fontId="115" fillId="0" borderId="1" xfId="7" applyNumberFormat="1" applyFont="1" applyBorder="1" applyAlignment="1" applyProtection="1">
      <alignment horizontal="right"/>
      <protection locked="0"/>
    </xf>
    <xf numFmtId="0" fontId="0" fillId="0" borderId="0" xfId="0">
      <alignment vertical="top"/>
    </xf>
    <xf numFmtId="0" fontId="16" fillId="0" borderId="0" xfId="0" applyFont="1" applyAlignment="1">
      <alignment horizontal="left" vertical="top" wrapText="1"/>
    </xf>
    <xf numFmtId="177" fontId="116" fillId="0" borderId="0" xfId="7" applyNumberFormat="1" applyFont="1">
      <alignment vertical="top"/>
    </xf>
    <xf numFmtId="180" fontId="0" fillId="0" borderId="0" xfId="7" applyNumberFormat="1" applyFont="1">
      <alignment vertical="top"/>
    </xf>
    <xf numFmtId="177" fontId="0" fillId="4" borderId="0" xfId="7" applyNumberFormat="1" applyFont="1" applyFill="1">
      <alignment vertical="top"/>
    </xf>
    <xf numFmtId="0" fontId="16" fillId="18" borderId="0" xfId="0" applyFont="1" applyFill="1" applyAlignment="1">
      <alignment horizontal="left" vertical="top" wrapText="1"/>
    </xf>
    <xf numFmtId="0" fontId="0" fillId="18" borderId="0" xfId="0" applyFill="1">
      <alignment vertical="top"/>
    </xf>
    <xf numFmtId="177" fontId="0" fillId="18" borderId="0" xfId="7" applyNumberFormat="1" applyFont="1" applyFill="1">
      <alignment vertical="top"/>
    </xf>
    <xf numFmtId="180" fontId="0" fillId="18" borderId="0" xfId="7" applyNumberFormat="1" applyFont="1" applyFill="1">
      <alignment vertical="top"/>
    </xf>
    <xf numFmtId="0" fontId="119" fillId="4" borderId="1" xfId="0" applyFont="1" applyFill="1" applyBorder="1" applyAlignment="1">
      <alignment horizontal="right" vertical="top"/>
    </xf>
    <xf numFmtId="180" fontId="118" fillId="4" borderId="1" xfId="0" applyNumberFormat="1" applyFont="1" applyFill="1" applyBorder="1">
      <alignment vertical="top"/>
    </xf>
    <xf numFmtId="180" fontId="68" fillId="4" borderId="1" xfId="0" applyNumberFormat="1" applyFont="1" applyFill="1" applyBorder="1">
      <alignment vertical="top"/>
    </xf>
    <xf numFmtId="180" fontId="117" fillId="4" borderId="1" xfId="0" applyNumberFormat="1" applyFont="1" applyFill="1" applyBorder="1">
      <alignment vertical="top"/>
    </xf>
    <xf numFmtId="180" fontId="120" fillId="4" borderId="1" xfId="0" applyNumberFormat="1" applyFont="1" applyFill="1" applyBorder="1">
      <alignment vertical="top"/>
    </xf>
    <xf numFmtId="180" fontId="0" fillId="4" borderId="1" xfId="0" applyNumberFormat="1" applyFill="1" applyBorder="1">
      <alignment vertical="top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5" fillId="0" borderId="0" xfId="0" applyFont="1" applyAlignment="1">
      <alignment vertical="center"/>
    </xf>
    <xf numFmtId="0" fontId="83" fillId="0" borderId="0" xfId="0" applyFont="1" applyAlignment="1">
      <alignment vertical="center"/>
    </xf>
    <xf numFmtId="0" fontId="105" fillId="0" borderId="0" xfId="0" applyFont="1" applyAlignment="1">
      <alignment horizontal="right" vertical="top"/>
    </xf>
    <xf numFmtId="0" fontId="83" fillId="0" borderId="0" xfId="0" applyFont="1" applyAlignment="1">
      <alignment horizontal="right" vertical="top"/>
    </xf>
    <xf numFmtId="0" fontId="105" fillId="0" borderId="0" xfId="0" applyFont="1" applyAlignment="1">
      <alignment horizontal="center" vertical="top"/>
    </xf>
    <xf numFmtId="0" fontId="83" fillId="0" borderId="0" xfId="0" applyFont="1" applyAlignment="1">
      <alignment horizontal="center" vertical="top"/>
    </xf>
    <xf numFmtId="0" fontId="10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3" fontId="109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16" fillId="17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13" borderId="0" xfId="0" applyFont="1" applyFill="1" applyAlignment="1">
      <alignment horizontal="left" vertical="top" wrapText="1" readingOrder="1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112" fillId="0" borderId="0" xfId="0" applyFont="1" applyAlignment="1">
      <alignment horizontal="right" vertical="top"/>
    </xf>
    <xf numFmtId="0" fontId="111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0" fontId="110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 readingOrder="1"/>
    </xf>
    <xf numFmtId="3" fontId="16" fillId="18" borderId="0" xfId="0" applyNumberFormat="1" applyFont="1" applyFill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5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center" vertical="center" wrapText="1" readingOrder="1"/>
    </xf>
    <xf numFmtId="0" fontId="8" fillId="0" borderId="3" xfId="0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 wrapText="1" readingOrder="1"/>
    </xf>
    <xf numFmtId="0" fontId="8" fillId="0" borderId="9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2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11" borderId="6" xfId="0" applyFont="1" applyFill="1" applyBorder="1" applyAlignment="1">
      <alignment horizontal="left" vertical="top"/>
    </xf>
    <xf numFmtId="0" fontId="8" fillId="11" borderId="0" xfId="0" applyFont="1" applyFill="1" applyAlignment="1">
      <alignment horizontal="left" vertical="top"/>
    </xf>
    <xf numFmtId="0" fontId="8" fillId="11" borderId="7" xfId="0" applyFont="1" applyFill="1" applyBorder="1" applyAlignment="1">
      <alignment horizontal="left" vertical="top"/>
    </xf>
    <xf numFmtId="0" fontId="8" fillId="11" borderId="6" xfId="0" applyFont="1" applyFill="1" applyBorder="1" applyAlignment="1">
      <alignment horizontal="left" vertical="top" readingOrder="1"/>
    </xf>
    <xf numFmtId="0" fontId="8" fillId="11" borderId="0" xfId="0" applyFont="1" applyFill="1" applyAlignment="1">
      <alignment horizontal="left" vertical="top" readingOrder="1"/>
    </xf>
    <xf numFmtId="177" fontId="8" fillId="11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11" borderId="4" xfId="0" applyFont="1" applyFill="1" applyBorder="1" applyAlignment="1">
      <alignment horizontal="left" vertical="top" wrapText="1"/>
    </xf>
    <xf numFmtId="0" fontId="8" fillId="11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9" fillId="6" borderId="13" xfId="7" applyNumberFormat="1" applyFont="1" applyFill="1" applyBorder="1" applyAlignment="1" applyProtection="1">
      <alignment horizontal="center"/>
      <protection locked="0"/>
    </xf>
    <xf numFmtId="180" fontId="79" fillId="6" borderId="15" xfId="7" applyNumberFormat="1" applyFont="1" applyFill="1" applyBorder="1" applyAlignment="1" applyProtection="1">
      <alignment horizontal="center"/>
      <protection locked="0"/>
    </xf>
    <xf numFmtId="180" fontId="79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9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79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9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9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69" fillId="0" borderId="0" xfId="7" applyNumberFormat="1" applyFont="1" applyAlignment="1">
      <alignment horizontal="center" vertical="top" wrapText="1"/>
    </xf>
    <xf numFmtId="0" fontId="70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5" fillId="0" borderId="0" xfId="1" applyFont="1" applyAlignment="1">
      <alignment horizontal="center" vertical="top" wrapText="1"/>
    </xf>
    <xf numFmtId="0" fontId="76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2" fillId="0" borderId="3" xfId="6" applyBorder="1"/>
    <xf numFmtId="0" fontId="22" fillId="0" borderId="0" xfId="6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2" fillId="0" borderId="2" xfId="6" applyBorder="1"/>
    <xf numFmtId="0" fontId="22" fillId="0" borderId="13" xfId="6" applyBorder="1"/>
    <xf numFmtId="0" fontId="22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105" fillId="0" borderId="0" xfId="0" applyFont="1" applyAlignment="1">
      <alignment vertical="top" wrapText="1"/>
    </xf>
    <xf numFmtId="0" fontId="83" fillId="0" borderId="0" xfId="0" applyFont="1" applyAlignment="1">
      <alignment vertical="top" wrapText="1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119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62</xdr:row>
      <xdr:rowOff>51442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32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30</xdr:row>
      <xdr:rowOff>85725</xdr:rowOff>
    </xdr:from>
    <xdr:to>
      <xdr:col>33</xdr:col>
      <xdr:colOff>163193</xdr:colOff>
      <xdr:row>35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35</xdr:row>
      <xdr:rowOff>0</xdr:rowOff>
    </xdr:from>
    <xdr:to>
      <xdr:col>55</xdr:col>
      <xdr:colOff>2553</xdr:colOff>
      <xdr:row>98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37</xdr:row>
      <xdr:rowOff>48584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0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2/&#26376;&#22577;-11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預算執行0904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4">
          <cell r="N14">
            <v>130105167</v>
          </cell>
        </row>
        <row r="15">
          <cell r="N15">
            <v>168375</v>
          </cell>
        </row>
        <row r="16">
          <cell r="N16">
            <v>168375</v>
          </cell>
        </row>
        <row r="17">
          <cell r="N17">
            <v>23419190</v>
          </cell>
        </row>
        <row r="18">
          <cell r="N18">
            <v>36111</v>
          </cell>
        </row>
        <row r="19">
          <cell r="N19">
            <v>9734</v>
          </cell>
        </row>
        <row r="20">
          <cell r="N20">
            <v>0</v>
          </cell>
        </row>
        <row r="21">
          <cell r="N21">
            <v>23373345</v>
          </cell>
        </row>
        <row r="22">
          <cell r="N22">
            <v>106310052</v>
          </cell>
        </row>
        <row r="23">
          <cell r="N23">
            <v>106310052</v>
          </cell>
        </row>
        <row r="24">
          <cell r="N24">
            <v>207550</v>
          </cell>
        </row>
        <row r="25">
          <cell r="N25">
            <v>207550</v>
          </cell>
        </row>
        <row r="26">
          <cell r="N26">
            <v>131308159</v>
          </cell>
        </row>
        <row r="27">
          <cell r="N27">
            <v>105900470</v>
          </cell>
        </row>
        <row r="28">
          <cell r="N28">
            <v>105900470</v>
          </cell>
        </row>
        <row r="29">
          <cell r="N29">
            <v>2238567</v>
          </cell>
        </row>
        <row r="30">
          <cell r="N30">
            <v>2238567</v>
          </cell>
        </row>
        <row r="31">
          <cell r="N31">
            <v>1506</v>
          </cell>
        </row>
        <row r="32">
          <cell r="N32">
            <v>1506</v>
          </cell>
        </row>
        <row r="33">
          <cell r="N33">
            <v>8720046</v>
          </cell>
        </row>
        <row r="34">
          <cell r="N34">
            <v>8693795</v>
          </cell>
        </row>
        <row r="35">
          <cell r="N35">
            <v>26251</v>
          </cell>
        </row>
        <row r="36">
          <cell r="N36">
            <v>14447570</v>
          </cell>
        </row>
        <row r="37">
          <cell r="N37">
            <v>14447570</v>
          </cell>
        </row>
        <row r="38">
          <cell r="N38">
            <v>-1202992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1">
          <cell r="N41">
            <v>341690768</v>
          </cell>
        </row>
      </sheetData>
      <sheetData sheetId="12">
        <row r="32">
          <cell r="C32">
            <v>8411034</v>
          </cell>
          <cell r="D32">
            <v>333279734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</sheetData>
      <sheetData sheetId="13">
        <row r="31">
          <cell r="C31">
            <v>3251942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471</v>
      </c>
    </row>
    <row r="4" spans="1:14" ht="36.75">
      <c r="A4" s="594" t="s">
        <v>273</v>
      </c>
      <c r="B4" s="595"/>
      <c r="C4" s="595"/>
      <c r="D4" s="595"/>
      <c r="E4" s="595"/>
      <c r="F4" s="595"/>
      <c r="G4" s="595"/>
      <c r="H4" s="595"/>
      <c r="I4" s="595"/>
      <c r="J4" s="595"/>
      <c r="K4" s="595"/>
      <c r="L4" s="595"/>
      <c r="M4" s="595"/>
      <c r="N4" s="595"/>
    </row>
    <row r="5" spans="1:14" ht="59.25" customHeight="1"/>
    <row r="6" spans="1:14" ht="59.25" customHeight="1"/>
    <row r="7" spans="1:14" ht="36.75">
      <c r="C7" s="596" t="s">
        <v>116</v>
      </c>
      <c r="D7" s="596"/>
      <c r="E7" s="596"/>
      <c r="F7" s="596"/>
      <c r="G7" s="596"/>
      <c r="H7" s="596"/>
      <c r="I7" s="596"/>
      <c r="J7" s="596"/>
      <c r="K7" s="596"/>
      <c r="L7" s="596"/>
    </row>
    <row r="8" spans="1:14" ht="51.75" customHeight="1"/>
    <row r="9" spans="1:14" ht="51.75" customHeight="1"/>
    <row r="10" spans="1:14" s="54" customFormat="1" ht="32.25">
      <c r="C10" s="284"/>
      <c r="D10" s="284"/>
      <c r="E10" s="597" t="s">
        <v>117</v>
      </c>
      <c r="F10" s="597"/>
      <c r="G10" s="597"/>
      <c r="H10" s="54">
        <v>109</v>
      </c>
      <c r="I10" s="54" t="s">
        <v>118</v>
      </c>
      <c r="K10" s="59" t="s">
        <v>119</v>
      </c>
      <c r="M10" s="54" t="s">
        <v>279</v>
      </c>
    </row>
    <row r="15" spans="1:14" s="53" customFormat="1" ht="34.5" customHeight="1">
      <c r="B15" s="598" t="s">
        <v>120</v>
      </c>
      <c r="C15" s="598"/>
      <c r="D15" s="598"/>
      <c r="E15" s="598"/>
      <c r="F15" s="598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C16" sqref="C16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702" t="str">
        <f>封面!$A$4</f>
        <v>彰化縣地方教育發展基金－彰化縣彰化市民生國民小學</v>
      </c>
      <c r="B1" s="703"/>
      <c r="C1" s="703"/>
      <c r="D1" s="703"/>
      <c r="E1" s="703"/>
      <c r="F1" s="703"/>
      <c r="G1" s="703"/>
      <c r="H1" s="703"/>
      <c r="I1" s="703"/>
      <c r="J1" s="703"/>
      <c r="K1" s="703"/>
      <c r="L1" s="703"/>
      <c r="M1" s="704"/>
    </row>
    <row r="2" spans="1:13">
      <c r="A2" s="703"/>
      <c r="B2" s="703"/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4"/>
    </row>
    <row r="3" spans="1:13">
      <c r="M3" s="195"/>
    </row>
    <row r="4" spans="1:13" ht="23.25" customHeight="1">
      <c r="A4" s="705" t="s">
        <v>27</v>
      </c>
      <c r="B4" s="705"/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</row>
    <row r="5" spans="1:13" ht="2.25" customHeight="1">
      <c r="A5" s="705"/>
      <c r="B5" s="705"/>
      <c r="C5" s="705"/>
      <c r="D5" s="705"/>
      <c r="E5" s="705"/>
      <c r="F5" s="705"/>
      <c r="G5" s="705"/>
      <c r="H5" s="705"/>
      <c r="I5" s="705"/>
      <c r="J5" s="705"/>
      <c r="K5" s="705"/>
      <c r="L5" s="705"/>
      <c r="M5" s="705"/>
    </row>
    <row r="6" spans="1:13" ht="16.5">
      <c r="A6" s="706" t="str">
        <f>封面!$E$10&amp;封面!$H$10&amp;封面!$I$10&amp;封面!$J$10&amp;封面!$K$10&amp;封面!L10</f>
        <v>中華民國113年9月份</v>
      </c>
      <c r="B6" s="706"/>
      <c r="C6" s="706"/>
      <c r="D6" s="706"/>
      <c r="E6" s="706"/>
      <c r="F6" s="706"/>
      <c r="G6" s="706"/>
      <c r="H6" s="706"/>
      <c r="I6" s="706"/>
      <c r="J6" s="706"/>
      <c r="K6" s="706"/>
      <c r="L6" s="706"/>
      <c r="M6" s="706"/>
    </row>
    <row r="7" spans="1:13" ht="10.5" customHeight="1"/>
    <row r="8" spans="1:13" ht="16.5">
      <c r="A8" s="666" t="s">
        <v>1</v>
      </c>
      <c r="B8" s="666"/>
      <c r="C8" s="666"/>
      <c r="D8" s="666"/>
      <c r="E8" s="666"/>
      <c r="F8" s="666"/>
      <c r="G8" s="666"/>
      <c r="H8" s="666"/>
      <c r="I8" s="666"/>
      <c r="J8" s="666"/>
      <c r="K8" s="666"/>
      <c r="L8" s="666"/>
      <c r="M8" s="666"/>
    </row>
    <row r="9" spans="1:13" ht="1.5" customHeight="1"/>
    <row r="10" spans="1:13" s="5" customFormat="1" ht="32.25" customHeight="1">
      <c r="A10" s="15"/>
      <c r="B10" s="696" t="s">
        <v>28</v>
      </c>
      <c r="C10" s="697"/>
      <c r="D10" s="698" t="s">
        <v>29</v>
      </c>
      <c r="E10" s="701" t="s">
        <v>30</v>
      </c>
      <c r="F10" s="696"/>
      <c r="G10" s="696"/>
      <c r="H10" s="707" t="s">
        <v>203</v>
      </c>
      <c r="I10" s="708"/>
      <c r="J10" s="708"/>
      <c r="K10" s="708"/>
      <c r="L10" s="708"/>
      <c r="M10" s="67"/>
    </row>
    <row r="11" spans="1:13" s="5" customFormat="1" ht="16.5" hidden="1" customHeight="1">
      <c r="B11" s="709" t="s">
        <v>31</v>
      </c>
      <c r="C11" s="698" t="s">
        <v>32</v>
      </c>
      <c r="D11" s="699"/>
      <c r="E11" s="698" t="s">
        <v>33</v>
      </c>
      <c r="F11" s="698" t="s">
        <v>34</v>
      </c>
      <c r="G11" s="698" t="s">
        <v>35</v>
      </c>
      <c r="H11" s="698" t="s">
        <v>33</v>
      </c>
      <c r="I11" s="698" t="s">
        <v>34</v>
      </c>
      <c r="J11" s="713" t="s">
        <v>195</v>
      </c>
      <c r="K11" s="714"/>
      <c r="L11" s="715"/>
      <c r="M11" s="124"/>
    </row>
    <row r="12" spans="1:13" s="5" customFormat="1" ht="16.5">
      <c r="A12" s="15"/>
      <c r="B12" s="710"/>
      <c r="C12" s="711"/>
      <c r="D12" s="700"/>
      <c r="E12" s="711"/>
      <c r="F12" s="711"/>
      <c r="G12" s="711"/>
      <c r="H12" s="712"/>
      <c r="I12" s="712"/>
      <c r="J12" s="67" t="s">
        <v>196</v>
      </c>
      <c r="K12" s="67"/>
      <c r="L12" s="67" t="s">
        <v>197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6"/>
      <c r="G15" s="237"/>
      <c r="H15" s="238">
        <v>9487900</v>
      </c>
      <c r="I15" s="238">
        <v>9674000</v>
      </c>
      <c r="J15" s="238">
        <v>-186100</v>
      </c>
      <c r="K15" s="238"/>
      <c r="L15" s="239">
        <v>-1.9237130452759976</v>
      </c>
      <c r="M15" s="122"/>
    </row>
    <row r="16" spans="1:13" ht="12.75" hidden="1" customHeight="1">
      <c r="A16" s="6"/>
      <c r="B16" s="129"/>
      <c r="C16" s="320"/>
      <c r="D16" s="321"/>
      <c r="E16" s="322"/>
      <c r="F16" s="69"/>
      <c r="G16" s="69"/>
      <c r="H16" s="236"/>
      <c r="I16" s="236"/>
      <c r="J16" s="236"/>
      <c r="K16" s="236"/>
      <c r="L16" s="236"/>
      <c r="M16" s="123"/>
    </row>
    <row r="17" spans="1:13" ht="21" customHeight="1">
      <c r="A17" s="7"/>
      <c r="B17" s="130"/>
      <c r="C17" s="338"/>
      <c r="D17" s="339" t="s">
        <v>37</v>
      </c>
      <c r="E17" s="337"/>
      <c r="F17" s="236"/>
      <c r="G17" s="237"/>
      <c r="H17" s="238">
        <v>117672097</v>
      </c>
      <c r="I17" s="238">
        <v>118238000</v>
      </c>
      <c r="J17" s="238">
        <v>-565903</v>
      </c>
      <c r="K17" s="238"/>
      <c r="L17" s="239">
        <v>-0.47861347451749864</v>
      </c>
      <c r="M17" s="122"/>
    </row>
    <row r="18" spans="1:13" ht="12.75" customHeight="1">
      <c r="C18" s="321"/>
      <c r="D18" s="502"/>
      <c r="E18" s="322"/>
      <c r="F18" s="69"/>
      <c r="G18" s="69"/>
      <c r="H18" s="505"/>
      <c r="I18" s="505"/>
      <c r="J18" s="505"/>
      <c r="K18" s="505"/>
      <c r="L18" s="505"/>
      <c r="M18" s="504"/>
    </row>
    <row r="19" spans="1:13" ht="12.75" customHeight="1">
      <c r="C19" s="321"/>
      <c r="D19" s="321"/>
      <c r="E19" s="322"/>
      <c r="F19" s="69"/>
      <c r="G19" s="69"/>
      <c r="H19" s="506"/>
      <c r="I19" s="506"/>
      <c r="J19" s="506"/>
      <c r="K19" s="506"/>
      <c r="L19" s="506"/>
      <c r="M19" s="504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6"/>
      <c r="G20" s="82"/>
      <c r="H20" s="238">
        <v>45000</v>
      </c>
      <c r="I20" s="238">
        <v>100000</v>
      </c>
      <c r="J20" s="238">
        <v>-55000</v>
      </c>
      <c r="K20" s="238"/>
      <c r="L20" s="239">
        <v>-55</v>
      </c>
      <c r="M20" s="122"/>
    </row>
    <row r="21" spans="1:13" ht="12.75" hidden="1" customHeight="1">
      <c r="A21" s="6"/>
      <c r="B21" s="129"/>
      <c r="C21" s="320"/>
      <c r="D21" s="321"/>
      <c r="E21" s="322"/>
      <c r="F21" s="69"/>
      <c r="G21" s="69"/>
      <c r="H21" s="236"/>
      <c r="I21" s="236"/>
      <c r="J21" s="236"/>
      <c r="K21" s="236"/>
      <c r="L21" s="236"/>
      <c r="M21" s="123"/>
    </row>
    <row r="22" spans="1:13" ht="21" customHeight="1">
      <c r="A22" s="7"/>
      <c r="B22" s="130"/>
      <c r="C22" s="338"/>
      <c r="D22" s="339" t="s">
        <v>37</v>
      </c>
      <c r="E22" s="337"/>
      <c r="F22" s="236"/>
      <c r="G22" s="82"/>
      <c r="H22" s="238">
        <v>122000</v>
      </c>
      <c r="I22" s="238">
        <v>200000</v>
      </c>
      <c r="J22" s="238">
        <v>-78000</v>
      </c>
      <c r="K22" s="238"/>
      <c r="L22" s="239">
        <v>-39</v>
      </c>
      <c r="M22" s="122"/>
    </row>
    <row r="23" spans="1:13" ht="12.75" customHeight="1">
      <c r="D23" s="503"/>
      <c r="E23" s="69"/>
      <c r="F23" s="69"/>
      <c r="G23" s="69"/>
      <c r="H23" s="505"/>
      <c r="I23" s="505"/>
      <c r="J23" s="505"/>
      <c r="K23" s="505"/>
      <c r="L23" s="505"/>
      <c r="M23" s="504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C16" sqref="C16"/>
    </sheetView>
  </sheetViews>
  <sheetFormatPr defaultColWidth="9.140625" defaultRowHeight="15.75"/>
  <cols>
    <col min="1" max="1" width="25.42578125" style="207" customWidth="1"/>
    <col min="2" max="7" width="17" style="49" customWidth="1"/>
    <col min="8" max="16384" width="9.140625" style="49"/>
  </cols>
  <sheetData>
    <row r="1" spans="1:11" s="69" customFormat="1" ht="19.5">
      <c r="A1" s="717" t="str">
        <f>封面!$A$4</f>
        <v>彰化縣地方教育發展基金－彰化縣彰化市民生國民小學</v>
      </c>
      <c r="B1" s="717"/>
      <c r="C1" s="717"/>
      <c r="D1" s="717"/>
      <c r="E1" s="717"/>
      <c r="F1" s="717"/>
      <c r="G1" s="718"/>
      <c r="J1" s="202"/>
      <c r="K1" s="181"/>
    </row>
    <row r="2" spans="1:11" s="69" customFormat="1" ht="19.5" hidden="1">
      <c r="A2" s="205"/>
      <c r="B2" s="9"/>
      <c r="C2" s="9"/>
      <c r="D2" s="9"/>
      <c r="E2" s="9"/>
      <c r="F2" s="9"/>
      <c r="J2" s="202"/>
      <c r="K2" s="181"/>
    </row>
    <row r="3" spans="1:11" s="69" customFormat="1" ht="14.25" hidden="1" customHeight="1">
      <c r="A3" s="206"/>
      <c r="J3" s="202"/>
      <c r="K3" s="181"/>
    </row>
    <row r="4" spans="1:11" s="69" customFormat="1" ht="21">
      <c r="A4" s="721" t="s">
        <v>265</v>
      </c>
      <c r="B4" s="721"/>
      <c r="C4" s="721"/>
      <c r="D4" s="721"/>
      <c r="E4" s="721"/>
      <c r="F4" s="721"/>
      <c r="G4" s="718"/>
      <c r="J4" s="202"/>
      <c r="K4" s="181"/>
    </row>
    <row r="5" spans="1:11" s="69" customFormat="1" ht="6.75" customHeight="1">
      <c r="A5" s="206"/>
      <c r="J5" s="202"/>
      <c r="K5" s="181"/>
    </row>
    <row r="6" spans="1:11" s="69" customFormat="1" ht="16.5">
      <c r="A6" s="720" t="str">
        <f>封面!$E$10&amp;封面!$H$10&amp;封面!$I$10&amp;封面!$J$10&amp;封面!$K$10&amp;封面!L10</f>
        <v>中華民國113年9月份</v>
      </c>
      <c r="B6" s="720"/>
      <c r="C6" s="720"/>
      <c r="D6" s="720"/>
      <c r="E6" s="720"/>
      <c r="F6" s="720"/>
      <c r="G6" s="718"/>
      <c r="J6" s="202"/>
      <c r="K6" s="181"/>
    </row>
    <row r="7" spans="1:11" s="69" customFormat="1" ht="14.25" customHeight="1">
      <c r="A7" s="666" t="s">
        <v>39</v>
      </c>
      <c r="B7" s="666"/>
      <c r="C7" s="666"/>
      <c r="D7" s="666"/>
      <c r="E7" s="666"/>
      <c r="F7" s="666"/>
      <c r="G7" s="718"/>
      <c r="J7" s="202"/>
      <c r="K7" s="181"/>
    </row>
    <row r="8" spans="1:11" s="203" customFormat="1" ht="28.5" customHeight="1">
      <c r="A8" s="660" t="s">
        <v>213</v>
      </c>
      <c r="B8" s="660" t="s">
        <v>266</v>
      </c>
      <c r="C8" s="660" t="s">
        <v>267</v>
      </c>
      <c r="D8" s="722" t="s">
        <v>270</v>
      </c>
      <c r="E8" s="723"/>
      <c r="F8" s="654" t="s">
        <v>271</v>
      </c>
      <c r="G8" s="648" t="s">
        <v>272</v>
      </c>
    </row>
    <row r="9" spans="1:11" s="204" customFormat="1" ht="28.5" customHeight="1">
      <c r="A9" s="719"/>
      <c r="B9" s="719"/>
      <c r="C9" s="719"/>
      <c r="D9" s="278" t="s">
        <v>268</v>
      </c>
      <c r="E9" s="278" t="s">
        <v>269</v>
      </c>
      <c r="F9" s="716"/>
      <c r="G9" s="724"/>
    </row>
    <row r="10" spans="1:11">
      <c r="A10" s="208" t="s">
        <v>205</v>
      </c>
      <c r="B10" s="240">
        <f t="shared" ref="B10:G10" si="0">SUM(B12:B40)</f>
        <v>503253996</v>
      </c>
      <c r="C10" s="240">
        <f t="shared" si="0"/>
        <v>169974262</v>
      </c>
      <c r="D10" s="279">
        <f t="shared" si="0"/>
        <v>27216170</v>
      </c>
      <c r="E10" s="279">
        <f t="shared" si="0"/>
        <v>16788680</v>
      </c>
      <c r="F10" s="279">
        <f t="shared" si="0"/>
        <v>7761506</v>
      </c>
      <c r="G10" s="279">
        <f t="shared" si="0"/>
        <v>335945718</v>
      </c>
    </row>
    <row r="11" spans="1:11" ht="15.75" hidden="1" customHeight="1">
      <c r="A11" s="209"/>
      <c r="B11" s="241"/>
      <c r="C11" s="241"/>
      <c r="D11" s="280"/>
      <c r="E11" s="280"/>
      <c r="F11" s="280"/>
      <c r="G11" s="280"/>
    </row>
    <row r="12" spans="1:11">
      <c r="A12" s="210" t="s">
        <v>206</v>
      </c>
      <c r="B12" s="241"/>
      <c r="C12" s="241"/>
      <c r="D12" s="280"/>
      <c r="E12" s="280"/>
      <c r="F12" s="280"/>
      <c r="G12" s="280">
        <f>B12-C12+D12-E12-F12</f>
        <v>0</v>
      </c>
    </row>
    <row r="13" spans="1:11" ht="15.75" hidden="1" customHeight="1">
      <c r="A13" s="210"/>
      <c r="B13" s="241"/>
      <c r="C13" s="319"/>
      <c r="D13" s="356"/>
      <c r="E13" s="356"/>
      <c r="F13" s="280"/>
      <c r="G13" s="280">
        <f t="shared" ref="G13:G41" si="1">B13-C13+D13-E13-F13</f>
        <v>0</v>
      </c>
    </row>
    <row r="14" spans="1:11">
      <c r="A14" s="210" t="s">
        <v>207</v>
      </c>
      <c r="B14" s="241">
        <v>167484955</v>
      </c>
      <c r="C14" s="357"/>
      <c r="D14" s="356">
        <v>1792790</v>
      </c>
      <c r="E14" s="356"/>
      <c r="F14" s="280"/>
      <c r="G14" s="280">
        <f t="shared" si="1"/>
        <v>169277745</v>
      </c>
    </row>
    <row r="15" spans="1:11" ht="15.75" hidden="1" customHeight="1">
      <c r="A15" s="210"/>
      <c r="B15" s="241"/>
      <c r="C15" s="357"/>
      <c r="D15" s="356"/>
      <c r="E15" s="356"/>
      <c r="F15" s="280"/>
      <c r="G15" s="280">
        <f t="shared" si="1"/>
        <v>0</v>
      </c>
    </row>
    <row r="16" spans="1:11">
      <c r="A16" s="210" t="s">
        <v>208</v>
      </c>
      <c r="B16" s="358">
        <v>22834363</v>
      </c>
      <c r="C16" s="359">
        <v>12479926</v>
      </c>
      <c r="D16" s="357">
        <v>14357975</v>
      </c>
      <c r="E16" s="356">
        <v>11265052</v>
      </c>
      <c r="F16" s="359">
        <v>-148167</v>
      </c>
      <c r="G16" s="280">
        <f t="shared" si="1"/>
        <v>13595527</v>
      </c>
    </row>
    <row r="17" spans="1:7" ht="15.75" hidden="1" customHeight="1">
      <c r="A17" s="210"/>
      <c r="B17" s="357"/>
      <c r="C17" s="357"/>
      <c r="D17" s="357"/>
      <c r="E17" s="356"/>
      <c r="F17" s="359"/>
      <c r="G17" s="280">
        <f t="shared" si="1"/>
        <v>0</v>
      </c>
    </row>
    <row r="18" spans="1:7">
      <c r="A18" s="210" t="s">
        <v>209</v>
      </c>
      <c r="B18" s="358">
        <v>256664094</v>
      </c>
      <c r="C18" s="359">
        <v>122932139</v>
      </c>
      <c r="D18" s="356">
        <v>437100</v>
      </c>
      <c r="E18" s="356">
        <v>3000</v>
      </c>
      <c r="F18" s="359">
        <v>3863211</v>
      </c>
      <c r="G18" s="280">
        <f t="shared" si="1"/>
        <v>130302844</v>
      </c>
    </row>
    <row r="19" spans="1:7" ht="15.75" hidden="1" customHeight="1">
      <c r="A19" s="210"/>
      <c r="B19" s="357"/>
      <c r="C19" s="357"/>
      <c r="D19" s="357"/>
      <c r="E19" s="356"/>
      <c r="F19" s="359"/>
      <c r="G19" s="280">
        <f t="shared" si="1"/>
        <v>0</v>
      </c>
    </row>
    <row r="20" spans="1:7">
      <c r="A20" s="210" t="s">
        <v>210</v>
      </c>
      <c r="B20" s="358">
        <v>14328826</v>
      </c>
      <c r="C20" s="359">
        <v>9438709</v>
      </c>
      <c r="D20" s="359">
        <v>2461017</v>
      </c>
      <c r="E20" s="356">
        <v>93551</v>
      </c>
      <c r="F20" s="359">
        <v>1618646</v>
      </c>
      <c r="G20" s="280">
        <f t="shared" si="1"/>
        <v>5638937</v>
      </c>
    </row>
    <row r="21" spans="1:7" ht="15.75" hidden="1" customHeight="1">
      <c r="A21" s="210"/>
      <c r="B21" s="357"/>
      <c r="C21" s="357"/>
      <c r="D21" s="357"/>
      <c r="E21" s="356"/>
      <c r="F21" s="359"/>
      <c r="G21" s="280">
        <f t="shared" si="1"/>
        <v>0</v>
      </c>
    </row>
    <row r="22" spans="1:7">
      <c r="A22" s="210" t="s">
        <v>211</v>
      </c>
      <c r="B22" s="358">
        <v>9005092</v>
      </c>
      <c r="C22" s="359">
        <v>2705155</v>
      </c>
      <c r="D22" s="359">
        <v>317589</v>
      </c>
      <c r="E22" s="356">
        <v>5199884</v>
      </c>
      <c r="F22" s="359">
        <v>240302</v>
      </c>
      <c r="G22" s="280">
        <f t="shared" si="1"/>
        <v>1177340</v>
      </c>
    </row>
    <row r="23" spans="1:7" ht="15.75" hidden="1" customHeight="1">
      <c r="A23" s="210"/>
      <c r="B23" s="357"/>
      <c r="C23" s="357"/>
      <c r="D23" s="357"/>
      <c r="E23" s="280"/>
      <c r="F23" s="359"/>
      <c r="G23" s="280">
        <f t="shared" si="1"/>
        <v>0</v>
      </c>
    </row>
    <row r="24" spans="1:7">
      <c r="A24" s="210" t="s">
        <v>212</v>
      </c>
      <c r="B24" s="358">
        <v>32896718</v>
      </c>
      <c r="C24" s="359">
        <v>22418333</v>
      </c>
      <c r="D24" s="359">
        <v>7587699</v>
      </c>
      <c r="E24" s="280">
        <v>195497</v>
      </c>
      <c r="F24" s="359">
        <v>2187514</v>
      </c>
      <c r="G24" s="280">
        <f t="shared" si="1"/>
        <v>15683073</v>
      </c>
    </row>
    <row r="25" spans="1:7" ht="15.75" hidden="1" customHeight="1">
      <c r="A25" s="210"/>
      <c r="B25" s="241"/>
      <c r="C25" s="241"/>
      <c r="D25" s="280"/>
      <c r="E25" s="280"/>
      <c r="F25" s="280"/>
      <c r="G25" s="280">
        <f t="shared" si="1"/>
        <v>0</v>
      </c>
    </row>
    <row r="26" spans="1:7">
      <c r="A26" s="210" t="s">
        <v>437</v>
      </c>
      <c r="B26" s="241"/>
      <c r="C26" s="241"/>
      <c r="D26" s="280"/>
      <c r="E26" s="280"/>
      <c r="F26" s="280"/>
      <c r="G26" s="280">
        <f t="shared" si="1"/>
        <v>0</v>
      </c>
    </row>
    <row r="27" spans="1:7" ht="15.75" hidden="1" customHeight="1">
      <c r="A27" s="210"/>
      <c r="B27" s="241"/>
      <c r="C27" s="241"/>
      <c r="D27" s="280"/>
      <c r="E27" s="280"/>
      <c r="F27" s="280"/>
      <c r="G27" s="280">
        <f t="shared" si="1"/>
        <v>0</v>
      </c>
    </row>
    <row r="28" spans="1:7">
      <c r="A28" s="210" t="s">
        <v>438</v>
      </c>
      <c r="B28" s="241"/>
      <c r="C28" s="241"/>
      <c r="D28" s="280"/>
      <c r="E28" s="280"/>
      <c r="F28" s="280"/>
      <c r="G28" s="280">
        <f t="shared" si="1"/>
        <v>0</v>
      </c>
    </row>
    <row r="29" spans="1:7" ht="15.75" hidden="1" customHeight="1">
      <c r="A29" s="210"/>
      <c r="B29" s="241"/>
      <c r="C29" s="241"/>
      <c r="D29" s="280"/>
      <c r="E29" s="280"/>
      <c r="F29" s="280"/>
      <c r="G29" s="280">
        <f t="shared" si="1"/>
        <v>0</v>
      </c>
    </row>
    <row r="30" spans="1:7">
      <c r="A30" s="210" t="s">
        <v>439</v>
      </c>
      <c r="B30" s="241"/>
      <c r="C30" s="241"/>
      <c r="D30" s="280"/>
      <c r="E30" s="280"/>
      <c r="F30" s="280"/>
      <c r="G30" s="280">
        <f t="shared" si="1"/>
        <v>0</v>
      </c>
    </row>
    <row r="31" spans="1:7" hidden="1">
      <c r="A31" s="210"/>
      <c r="B31" s="241"/>
      <c r="C31" s="241"/>
      <c r="D31" s="280"/>
      <c r="E31" s="280"/>
      <c r="F31" s="280"/>
      <c r="G31" s="280">
        <f t="shared" si="1"/>
        <v>0</v>
      </c>
    </row>
    <row r="32" spans="1:7">
      <c r="A32" s="210" t="s">
        <v>49</v>
      </c>
      <c r="B32" s="241"/>
      <c r="C32" s="241"/>
      <c r="D32" s="280"/>
      <c r="E32" s="280"/>
      <c r="F32" s="280"/>
      <c r="G32" s="280">
        <f t="shared" si="1"/>
        <v>0</v>
      </c>
    </row>
    <row r="33" spans="1:7" hidden="1">
      <c r="A33" s="210"/>
      <c r="B33" s="241"/>
      <c r="C33" s="241"/>
      <c r="D33" s="280"/>
      <c r="E33" s="280"/>
      <c r="F33" s="280"/>
      <c r="G33" s="280">
        <f t="shared" si="1"/>
        <v>0</v>
      </c>
    </row>
    <row r="34" spans="1:7">
      <c r="A34" s="210" t="s">
        <v>200</v>
      </c>
      <c r="B34" s="241"/>
      <c r="C34" s="241"/>
      <c r="D34" s="280"/>
      <c r="E34" s="280"/>
      <c r="F34" s="280"/>
      <c r="G34" s="280">
        <f t="shared" si="1"/>
        <v>0</v>
      </c>
    </row>
    <row r="35" spans="1:7">
      <c r="A35" s="210" t="s">
        <v>50</v>
      </c>
      <c r="B35" s="241"/>
      <c r="C35" s="241"/>
      <c r="D35" s="280"/>
      <c r="E35" s="280"/>
      <c r="F35" s="280"/>
      <c r="G35" s="280">
        <f t="shared" si="1"/>
        <v>0</v>
      </c>
    </row>
    <row r="36" spans="1:7" hidden="1">
      <c r="A36" s="210"/>
      <c r="B36" s="241"/>
      <c r="C36" s="241"/>
      <c r="D36" s="280"/>
      <c r="E36" s="280"/>
      <c r="F36" s="280"/>
      <c r="G36" s="280">
        <f t="shared" si="1"/>
        <v>0</v>
      </c>
    </row>
    <row r="37" spans="1:7">
      <c r="A37" s="210" t="s">
        <v>440</v>
      </c>
      <c r="B37" s="241">
        <v>39948</v>
      </c>
      <c r="C37" s="241"/>
      <c r="D37" s="280">
        <v>262000</v>
      </c>
      <c r="E37" s="280">
        <v>31696</v>
      </c>
      <c r="F37" s="280"/>
      <c r="G37" s="280">
        <f t="shared" si="1"/>
        <v>270252</v>
      </c>
    </row>
    <row r="38" spans="1:7" hidden="1">
      <c r="A38" s="210"/>
      <c r="B38" s="241"/>
      <c r="C38" s="241"/>
      <c r="D38" s="280"/>
      <c r="E38" s="280"/>
      <c r="F38" s="280"/>
      <c r="G38" s="280">
        <f t="shared" si="1"/>
        <v>0</v>
      </c>
    </row>
    <row r="39" spans="1:7">
      <c r="A39" s="210" t="s">
        <v>441</v>
      </c>
      <c r="B39" s="241"/>
      <c r="C39" s="241"/>
      <c r="D39" s="280"/>
      <c r="E39" s="280"/>
      <c r="F39" s="280"/>
      <c r="G39" s="280">
        <f t="shared" si="1"/>
        <v>0</v>
      </c>
    </row>
    <row r="40" spans="1:7" hidden="1">
      <c r="A40" s="210"/>
      <c r="B40" s="241"/>
      <c r="C40" s="241"/>
      <c r="D40" s="280"/>
      <c r="E40" s="280"/>
      <c r="F40" s="280"/>
      <c r="G40" s="280">
        <f t="shared" si="1"/>
        <v>0</v>
      </c>
    </row>
    <row r="41" spans="1:7">
      <c r="A41" s="211" t="s">
        <v>201</v>
      </c>
      <c r="B41" s="242"/>
      <c r="C41" s="242"/>
      <c r="D41" s="281"/>
      <c r="E41" s="281"/>
      <c r="F41" s="281"/>
      <c r="G41" s="281">
        <f t="shared" si="1"/>
        <v>0</v>
      </c>
    </row>
    <row r="42" spans="1:7" ht="16.5">
      <c r="G42" s="530">
        <f>G10-G37</f>
        <v>335675466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topLeftCell="A7" zoomScale="115" zoomScaleSheetLayoutView="115" workbookViewId="0">
      <selection activeCell="C16" sqref="C16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6.140625" style="3" customWidth="1"/>
    <col min="15" max="16" width="16.7109375" style="3" customWidth="1"/>
    <col min="17" max="16384" width="6.85546875" style="3"/>
  </cols>
  <sheetData>
    <row r="1" spans="1:22" ht="19.5">
      <c r="A1" s="705" t="str">
        <f>封面!$A$4</f>
        <v>彰化縣地方教育發展基金－彰化縣彰化市民生國民小學</v>
      </c>
      <c r="B1" s="705"/>
      <c r="C1" s="705"/>
      <c r="D1" s="705"/>
      <c r="E1" s="705"/>
      <c r="F1" s="705"/>
      <c r="G1" s="705"/>
      <c r="H1" s="705"/>
      <c r="I1" s="705"/>
      <c r="J1" s="705"/>
      <c r="K1" s="705"/>
      <c r="L1" s="705"/>
      <c r="M1" s="705"/>
      <c r="N1" s="705"/>
      <c r="O1" s="705"/>
      <c r="P1" s="705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5"/>
    </row>
    <row r="4" spans="1:22" ht="19.5">
      <c r="A4" s="705" t="s">
        <v>433</v>
      </c>
      <c r="B4" s="705"/>
      <c r="C4" s="705"/>
      <c r="D4" s="705"/>
      <c r="E4" s="705"/>
      <c r="F4" s="705"/>
      <c r="G4" s="705"/>
      <c r="H4" s="705"/>
      <c r="I4" s="705"/>
      <c r="J4" s="705"/>
      <c r="K4" s="705"/>
      <c r="L4" s="705"/>
      <c r="M4" s="705"/>
      <c r="N4" s="705"/>
      <c r="O4" s="705"/>
      <c r="P4" s="705"/>
    </row>
    <row r="5" spans="1:22" ht="19.5" customHeight="1">
      <c r="A5" s="706" t="str">
        <f>封面!$E$10&amp;封面!$H$10&amp;封面!$I$10&amp;封面!$J$10&amp;封面!$K$10&amp;封面!L10</f>
        <v>中華民國113年9月份</v>
      </c>
      <c r="B5" s="706"/>
      <c r="C5" s="706"/>
      <c r="D5" s="706"/>
      <c r="E5" s="706"/>
      <c r="F5" s="706"/>
      <c r="G5" s="706"/>
      <c r="H5" s="706"/>
      <c r="I5" s="706"/>
      <c r="J5" s="706"/>
      <c r="K5" s="706"/>
      <c r="L5" s="706"/>
      <c r="M5" s="706"/>
      <c r="N5" s="706"/>
      <c r="O5" s="706"/>
      <c r="P5" s="706"/>
    </row>
    <row r="6" spans="1:22" ht="12.75" hidden="1">
      <c r="A6" s="706"/>
      <c r="B6" s="706"/>
      <c r="C6" s="706"/>
      <c r="D6" s="706"/>
      <c r="E6" s="706"/>
      <c r="F6" s="706"/>
      <c r="G6" s="706"/>
      <c r="H6" s="706"/>
      <c r="I6" s="706"/>
      <c r="J6" s="706"/>
      <c r="K6" s="706"/>
      <c r="L6" s="706"/>
      <c r="M6" s="706"/>
      <c r="N6" s="706"/>
      <c r="O6" s="706"/>
      <c r="P6" s="706"/>
    </row>
    <row r="7" spans="1:22" s="8" customFormat="1" ht="16.5">
      <c r="A7" s="730" t="s">
        <v>1</v>
      </c>
      <c r="B7" s="730"/>
      <c r="C7" s="730"/>
      <c r="D7" s="730"/>
      <c r="E7" s="730"/>
      <c r="F7" s="730"/>
      <c r="G7" s="730"/>
      <c r="H7" s="730"/>
      <c r="I7" s="730"/>
      <c r="J7" s="730"/>
      <c r="K7" s="730"/>
      <c r="L7" s="730"/>
      <c r="M7" s="730"/>
      <c r="N7" s="730"/>
      <c r="O7" s="730"/>
      <c r="P7" s="730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32" t="s">
        <v>435</v>
      </c>
      <c r="B10" s="733"/>
      <c r="C10" s="732" t="s">
        <v>56</v>
      </c>
      <c r="D10" s="738"/>
      <c r="E10" s="738"/>
      <c r="F10" s="738"/>
      <c r="G10" s="739"/>
      <c r="H10" s="725" t="s">
        <v>57</v>
      </c>
      <c r="I10" s="729" t="s">
        <v>55</v>
      </c>
      <c r="J10" s="728"/>
      <c r="K10" s="728"/>
      <c r="L10" s="728"/>
      <c r="M10" s="728"/>
      <c r="N10" s="728"/>
      <c r="O10" s="729" t="s">
        <v>58</v>
      </c>
      <c r="P10" s="725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34"/>
      <c r="B11" s="735"/>
      <c r="C11" s="740"/>
      <c r="D11" s="741"/>
      <c r="E11" s="741"/>
      <c r="F11" s="741"/>
      <c r="G11" s="742"/>
      <c r="H11" s="726"/>
      <c r="I11" s="728"/>
      <c r="J11" s="728"/>
      <c r="K11" s="728"/>
      <c r="L11" s="728"/>
      <c r="M11" s="728"/>
      <c r="N11" s="728"/>
      <c r="O11" s="728"/>
      <c r="P11" s="726"/>
      <c r="Q11" s="5"/>
      <c r="R11" s="5"/>
      <c r="S11" s="5"/>
      <c r="T11" s="5"/>
      <c r="U11" s="5"/>
      <c r="V11" s="5"/>
    </row>
    <row r="12" spans="1:22" s="21" customFormat="1" ht="12.75" customHeight="1">
      <c r="A12" s="734"/>
      <c r="B12" s="735"/>
      <c r="C12" s="740"/>
      <c r="D12" s="741"/>
      <c r="E12" s="741"/>
      <c r="F12" s="741"/>
      <c r="G12" s="742"/>
      <c r="H12" s="726"/>
      <c r="I12" s="728"/>
      <c r="J12" s="728"/>
      <c r="K12" s="728"/>
      <c r="L12" s="728"/>
      <c r="M12" s="728"/>
      <c r="N12" s="728"/>
      <c r="O12" s="728"/>
      <c r="P12" s="726"/>
      <c r="Q12" s="5"/>
      <c r="R12" s="5"/>
      <c r="S12" s="5"/>
      <c r="T12" s="5"/>
      <c r="U12" s="5"/>
      <c r="V12" s="5"/>
    </row>
    <row r="13" spans="1:22" s="5" customFormat="1" ht="12.75" hidden="1" customHeight="1">
      <c r="A13" s="734"/>
      <c r="B13" s="735"/>
      <c r="C13" s="743"/>
      <c r="D13" s="744"/>
      <c r="E13" s="744"/>
      <c r="F13" s="741"/>
      <c r="G13" s="742"/>
      <c r="H13" s="726"/>
      <c r="I13" s="728"/>
      <c r="J13" s="728"/>
      <c r="K13" s="728"/>
      <c r="L13" s="728"/>
      <c r="M13" s="728"/>
      <c r="N13" s="728"/>
      <c r="O13" s="728"/>
      <c r="P13" s="726"/>
    </row>
    <row r="14" spans="1:22" s="5" customFormat="1" ht="12.75" customHeight="1">
      <c r="A14" s="734"/>
      <c r="B14" s="735"/>
      <c r="C14" s="745"/>
      <c r="D14" s="746"/>
      <c r="E14" s="746"/>
      <c r="F14" s="747"/>
      <c r="G14" s="710"/>
      <c r="H14" s="726"/>
      <c r="I14" s="728"/>
      <c r="J14" s="728"/>
      <c r="K14" s="728"/>
      <c r="L14" s="728"/>
      <c r="M14" s="728"/>
      <c r="N14" s="728"/>
      <c r="O14" s="728"/>
      <c r="P14" s="726"/>
    </row>
    <row r="15" spans="1:22" s="5" customFormat="1" ht="12.75" customHeight="1">
      <c r="A15" s="734"/>
      <c r="B15" s="735"/>
      <c r="C15" s="748" t="s">
        <v>305</v>
      </c>
      <c r="D15" s="748" t="s">
        <v>306</v>
      </c>
      <c r="E15" s="748" t="s">
        <v>307</v>
      </c>
      <c r="F15" s="725" t="s">
        <v>60</v>
      </c>
      <c r="G15" s="725" t="s">
        <v>61</v>
      </c>
      <c r="H15" s="726"/>
      <c r="I15" s="729" t="s">
        <v>434</v>
      </c>
      <c r="J15" s="728"/>
      <c r="K15" s="728"/>
      <c r="L15" s="728"/>
      <c r="M15" s="729" t="s">
        <v>12</v>
      </c>
      <c r="N15" s="728"/>
      <c r="O15" s="728"/>
      <c r="P15" s="726"/>
    </row>
    <row r="16" spans="1:22" s="5" customFormat="1" ht="12.75" customHeight="1">
      <c r="A16" s="734"/>
      <c r="B16" s="735"/>
      <c r="C16" s="749"/>
      <c r="D16" s="749"/>
      <c r="E16" s="749"/>
      <c r="F16" s="749"/>
      <c r="G16" s="726"/>
      <c r="H16" s="726"/>
      <c r="I16" s="728"/>
      <c r="J16" s="728"/>
      <c r="K16" s="728"/>
      <c r="L16" s="728"/>
      <c r="M16" s="728"/>
      <c r="N16" s="728"/>
      <c r="O16" s="728"/>
      <c r="P16" s="726"/>
    </row>
    <row r="17" spans="1:16" s="5" customFormat="1" ht="12.75" customHeight="1">
      <c r="A17" s="734"/>
      <c r="B17" s="735"/>
      <c r="C17" s="749"/>
      <c r="D17" s="749"/>
      <c r="E17" s="749"/>
      <c r="F17" s="749"/>
      <c r="G17" s="726"/>
      <c r="H17" s="726"/>
      <c r="I17" s="729" t="s">
        <v>63</v>
      </c>
      <c r="J17" s="731" t="s">
        <v>62</v>
      </c>
      <c r="K17" s="729" t="s">
        <v>64</v>
      </c>
      <c r="L17" s="727" t="s">
        <v>65</v>
      </c>
      <c r="M17" s="729" t="s">
        <v>4</v>
      </c>
      <c r="N17" s="727" t="s">
        <v>65</v>
      </c>
      <c r="O17" s="728"/>
      <c r="P17" s="726"/>
    </row>
    <row r="18" spans="1:16" s="5" customFormat="1" ht="12.75" customHeight="1">
      <c r="A18" s="734"/>
      <c r="B18" s="735"/>
      <c r="C18" s="749"/>
      <c r="D18" s="749"/>
      <c r="E18" s="749"/>
      <c r="F18" s="749"/>
      <c r="G18" s="726"/>
      <c r="H18" s="726"/>
      <c r="I18" s="728"/>
      <c r="J18" s="731"/>
      <c r="K18" s="728"/>
      <c r="L18" s="728"/>
      <c r="M18" s="728"/>
      <c r="N18" s="728"/>
      <c r="O18" s="728"/>
      <c r="P18" s="726"/>
    </row>
    <row r="19" spans="1:16" s="5" customFormat="1" ht="12.75" hidden="1" customHeight="1">
      <c r="A19" s="734"/>
      <c r="B19" s="735"/>
      <c r="C19" s="353"/>
      <c r="D19" s="353"/>
      <c r="E19" s="353"/>
      <c r="F19" s="293"/>
      <c r="G19" s="726"/>
      <c r="H19" s="726"/>
      <c r="I19" s="728"/>
      <c r="J19" s="731"/>
      <c r="K19" s="728"/>
      <c r="L19" s="728"/>
      <c r="M19" s="728"/>
      <c r="N19" s="728"/>
      <c r="O19" s="728"/>
      <c r="P19" s="726"/>
    </row>
    <row r="20" spans="1:16" s="5" customFormat="1" ht="16.5" hidden="1" customHeight="1">
      <c r="A20" s="736"/>
      <c r="B20" s="737"/>
      <c r="C20" s="354"/>
      <c r="D20" s="354"/>
      <c r="E20" s="354"/>
      <c r="F20" s="290"/>
      <c r="G20" s="711"/>
      <c r="H20" s="711"/>
      <c r="I20" s="728"/>
      <c r="J20" s="731"/>
      <c r="K20" s="728"/>
      <c r="L20" s="728"/>
      <c r="M20" s="728"/>
      <c r="N20" s="728"/>
      <c r="O20" s="728"/>
      <c r="P20" s="711"/>
    </row>
    <row r="21" spans="1:16" ht="14.25" customHeight="1">
      <c r="A21" s="83" t="s">
        <v>436</v>
      </c>
      <c r="B21" s="84"/>
      <c r="C21" s="346">
        <f>SUM(C23:C24)</f>
        <v>0</v>
      </c>
      <c r="D21" s="346">
        <f t="shared" ref="D21:J22" si="0">SUM(D23:D24)</f>
        <v>0</v>
      </c>
      <c r="E21" s="346">
        <f t="shared" si="0"/>
        <v>0</v>
      </c>
      <c r="F21" s="347">
        <f t="shared" si="0"/>
        <v>0</v>
      </c>
      <c r="G21" s="347">
        <f>SUM(C21:F21)</f>
        <v>0</v>
      </c>
      <c r="H21" s="347">
        <f t="shared" si="0"/>
        <v>0</v>
      </c>
      <c r="I21" s="347">
        <f t="shared" si="0"/>
        <v>0</v>
      </c>
      <c r="J21" s="347">
        <f t="shared" si="0"/>
        <v>0</v>
      </c>
      <c r="K21" s="347">
        <f>SUM(I21:J21)</f>
        <v>0</v>
      </c>
      <c r="L21" s="507">
        <f t="shared" ref="L21:L33" si="1">IF(K21=0,0,K21/H21)*100</f>
        <v>0</v>
      </c>
      <c r="M21" s="347">
        <f>H21-K21</f>
        <v>0</v>
      </c>
      <c r="N21" s="514">
        <f t="shared" ref="N21:N40" si="2">IF(M21=0,0,M21/H21)*100</f>
        <v>0</v>
      </c>
      <c r="O21" s="545"/>
      <c r="P21" s="511"/>
    </row>
    <row r="22" spans="1:16" ht="14.25" customHeight="1">
      <c r="A22" s="87" t="s">
        <v>44</v>
      </c>
      <c r="B22" s="86"/>
      <c r="C22" s="348">
        <f>SUM(C24:C25)</f>
        <v>0</v>
      </c>
      <c r="D22" s="348">
        <f t="shared" si="0"/>
        <v>0</v>
      </c>
      <c r="E22" s="348">
        <f t="shared" si="0"/>
        <v>0</v>
      </c>
      <c r="F22" s="349">
        <f t="shared" si="0"/>
        <v>0</v>
      </c>
      <c r="G22" s="349">
        <f>SUM(C22:F22)</f>
        <v>0</v>
      </c>
      <c r="H22" s="349">
        <f t="shared" si="0"/>
        <v>0</v>
      </c>
      <c r="I22" s="349">
        <f t="shared" si="0"/>
        <v>0</v>
      </c>
      <c r="J22" s="349">
        <f t="shared" si="0"/>
        <v>0</v>
      </c>
      <c r="K22" s="349">
        <f>SUM(I22:J22)</f>
        <v>0</v>
      </c>
      <c r="L22" s="508">
        <f t="shared" si="1"/>
        <v>0</v>
      </c>
      <c r="M22" s="349">
        <f>H22-K22</f>
        <v>0</v>
      </c>
      <c r="N22" s="515">
        <f t="shared" si="2"/>
        <v>0</v>
      </c>
      <c r="O22" s="546"/>
      <c r="P22" s="512"/>
    </row>
    <row r="23" spans="1:16">
      <c r="A23" s="85"/>
      <c r="B23" s="86" t="s">
        <v>44</v>
      </c>
      <c r="C23" s="348"/>
      <c r="D23" s="348"/>
      <c r="E23" s="348"/>
      <c r="F23" s="349"/>
      <c r="G23" s="349">
        <f t="shared" ref="G23:G41" si="3">SUM(C23:F23)</f>
        <v>0</v>
      </c>
      <c r="H23" s="349"/>
      <c r="I23" s="349"/>
      <c r="J23" s="349"/>
      <c r="K23" s="349">
        <f t="shared" ref="K23:K41" si="4">SUM(I23:J23)</f>
        <v>0</v>
      </c>
      <c r="L23" s="508">
        <f t="shared" si="1"/>
        <v>0</v>
      </c>
      <c r="M23" s="349">
        <f t="shared" ref="M23:M41" si="5">H23-K23</f>
        <v>0</v>
      </c>
      <c r="N23" s="515">
        <f t="shared" si="2"/>
        <v>0</v>
      </c>
      <c r="O23" s="546"/>
      <c r="P23" s="512"/>
    </row>
    <row r="24" spans="1:16">
      <c r="A24" s="85"/>
      <c r="B24" s="86" t="s">
        <v>49</v>
      </c>
      <c r="C24" s="349"/>
      <c r="D24" s="349"/>
      <c r="E24" s="349"/>
      <c r="F24" s="349"/>
      <c r="G24" s="349">
        <f t="shared" si="3"/>
        <v>0</v>
      </c>
      <c r="H24" s="349"/>
      <c r="I24" s="349"/>
      <c r="J24" s="349"/>
      <c r="K24" s="349">
        <f t="shared" si="4"/>
        <v>0</v>
      </c>
      <c r="L24" s="508">
        <f t="shared" si="1"/>
        <v>0</v>
      </c>
      <c r="M24" s="349">
        <f t="shared" si="5"/>
        <v>0</v>
      </c>
      <c r="N24" s="515">
        <f t="shared" si="2"/>
        <v>0</v>
      </c>
      <c r="O24" s="546"/>
      <c r="P24" s="512"/>
    </row>
    <row r="25" spans="1:16" ht="14.25" customHeight="1">
      <c r="A25" s="87" t="s">
        <v>45</v>
      </c>
      <c r="B25" s="86"/>
      <c r="C25" s="349">
        <f>SUM(C26:C27)</f>
        <v>0</v>
      </c>
      <c r="D25" s="349">
        <f t="shared" ref="D25" si="6">SUM(D26:D27)</f>
        <v>0</v>
      </c>
      <c r="E25" s="349">
        <f t="shared" ref="E25" si="7">SUM(E26:E27)</f>
        <v>0</v>
      </c>
      <c r="F25" s="349">
        <f t="shared" ref="F25" si="8">SUM(F26:F27)</f>
        <v>0</v>
      </c>
      <c r="G25" s="349">
        <f t="shared" si="3"/>
        <v>0</v>
      </c>
      <c r="H25" s="349">
        <f t="shared" ref="H25" si="9">SUM(H26:H27)</f>
        <v>0</v>
      </c>
      <c r="I25" s="349">
        <f t="shared" ref="I25" si="10">SUM(I26:I27)</f>
        <v>0</v>
      </c>
      <c r="J25" s="349">
        <f t="shared" ref="J25" si="11">SUM(J26:J27)</f>
        <v>0</v>
      </c>
      <c r="K25" s="349">
        <f t="shared" si="4"/>
        <v>0</v>
      </c>
      <c r="L25" s="508">
        <f t="shared" si="1"/>
        <v>0</v>
      </c>
      <c r="M25" s="349">
        <f t="shared" si="5"/>
        <v>0</v>
      </c>
      <c r="N25" s="515">
        <f t="shared" si="2"/>
        <v>0</v>
      </c>
      <c r="O25" s="546"/>
      <c r="P25" s="512"/>
    </row>
    <row r="26" spans="1:16">
      <c r="A26" s="85"/>
      <c r="B26" s="86" t="s">
        <v>45</v>
      </c>
      <c r="C26" s="349"/>
      <c r="D26" s="349"/>
      <c r="E26" s="349"/>
      <c r="F26" s="349"/>
      <c r="G26" s="349">
        <f t="shared" si="3"/>
        <v>0</v>
      </c>
      <c r="H26" s="349"/>
      <c r="I26" s="349"/>
      <c r="J26" s="349"/>
      <c r="K26" s="349">
        <f t="shared" si="4"/>
        <v>0</v>
      </c>
      <c r="L26" s="508">
        <f t="shared" si="1"/>
        <v>0</v>
      </c>
      <c r="M26" s="349">
        <f t="shared" si="5"/>
        <v>0</v>
      </c>
      <c r="N26" s="515">
        <f t="shared" si="2"/>
        <v>0</v>
      </c>
      <c r="O26" s="546"/>
      <c r="P26" s="512"/>
    </row>
    <row r="27" spans="1:16">
      <c r="A27" s="85"/>
      <c r="B27" s="86" t="s">
        <v>49</v>
      </c>
      <c r="C27" s="349"/>
      <c r="D27" s="349"/>
      <c r="E27" s="349"/>
      <c r="F27" s="349"/>
      <c r="G27" s="349">
        <f t="shared" si="3"/>
        <v>0</v>
      </c>
      <c r="H27" s="349"/>
      <c r="I27" s="349"/>
      <c r="J27" s="349"/>
      <c r="K27" s="349">
        <f t="shared" si="4"/>
        <v>0</v>
      </c>
      <c r="L27" s="508">
        <f t="shared" si="1"/>
        <v>0</v>
      </c>
      <c r="M27" s="349">
        <f t="shared" si="5"/>
        <v>0</v>
      </c>
      <c r="N27" s="515">
        <f t="shared" si="2"/>
        <v>0</v>
      </c>
      <c r="O27" s="546"/>
      <c r="P27" s="512"/>
    </row>
    <row r="28" spans="1:16" ht="14.25" customHeight="1">
      <c r="A28" s="87" t="s">
        <v>46</v>
      </c>
      <c r="B28" s="86"/>
      <c r="C28" s="349">
        <f>SUM(C29:C30)</f>
        <v>0</v>
      </c>
      <c r="D28" s="349">
        <f t="shared" ref="D28" si="12">SUM(D29:D30)</f>
        <v>0</v>
      </c>
      <c r="E28" s="349">
        <f t="shared" ref="E28" si="13">SUM(E29:E30)</f>
        <v>0</v>
      </c>
      <c r="F28" s="349">
        <f t="shared" ref="F28" si="14">SUM(F29:F30)</f>
        <v>0</v>
      </c>
      <c r="G28" s="349">
        <f t="shared" si="3"/>
        <v>0</v>
      </c>
      <c r="H28" s="349">
        <f t="shared" ref="H28" si="15">SUM(H29:H30)</f>
        <v>0</v>
      </c>
      <c r="I28" s="349">
        <f t="shared" ref="I28" si="16">SUM(I29:I30)</f>
        <v>0</v>
      </c>
      <c r="J28" s="349">
        <f t="shared" ref="J28" si="17">SUM(J29:J30)</f>
        <v>0</v>
      </c>
      <c r="K28" s="349">
        <f t="shared" si="4"/>
        <v>0</v>
      </c>
      <c r="L28" s="508">
        <f t="shared" si="1"/>
        <v>0</v>
      </c>
      <c r="M28" s="349">
        <f t="shared" si="5"/>
        <v>0</v>
      </c>
      <c r="N28" s="515">
        <f t="shared" si="2"/>
        <v>0</v>
      </c>
      <c r="O28" s="546"/>
      <c r="P28" s="512"/>
    </row>
    <row r="29" spans="1:16">
      <c r="A29" s="85"/>
      <c r="B29" s="86" t="s">
        <v>46</v>
      </c>
      <c r="C29" s="349"/>
      <c r="D29" s="349"/>
      <c r="E29" s="349"/>
      <c r="F29" s="349"/>
      <c r="G29" s="349">
        <f t="shared" si="3"/>
        <v>0</v>
      </c>
      <c r="H29" s="349"/>
      <c r="I29" s="349"/>
      <c r="J29" s="349"/>
      <c r="K29" s="349">
        <f t="shared" si="4"/>
        <v>0</v>
      </c>
      <c r="L29" s="508">
        <f t="shared" si="1"/>
        <v>0</v>
      </c>
      <c r="M29" s="349">
        <f t="shared" si="5"/>
        <v>0</v>
      </c>
      <c r="N29" s="515">
        <f t="shared" si="2"/>
        <v>0</v>
      </c>
      <c r="O29" s="546"/>
      <c r="P29" s="512"/>
    </row>
    <row r="30" spans="1:16">
      <c r="A30" s="85"/>
      <c r="B30" s="86" t="s">
        <v>49</v>
      </c>
      <c r="C30" s="349"/>
      <c r="D30" s="349"/>
      <c r="E30" s="349"/>
      <c r="F30" s="349"/>
      <c r="G30" s="349">
        <f t="shared" si="3"/>
        <v>0</v>
      </c>
      <c r="H30" s="349"/>
      <c r="I30" s="349"/>
      <c r="J30" s="349"/>
      <c r="K30" s="349">
        <f t="shared" si="4"/>
        <v>0</v>
      </c>
      <c r="L30" s="508">
        <f t="shared" si="1"/>
        <v>0</v>
      </c>
      <c r="M30" s="349">
        <f t="shared" si="5"/>
        <v>0</v>
      </c>
      <c r="N30" s="515">
        <f t="shared" si="2"/>
        <v>0</v>
      </c>
      <c r="O30" s="546"/>
      <c r="P30" s="512"/>
    </row>
    <row r="31" spans="1:16" ht="14.25" customHeight="1">
      <c r="A31" s="87" t="s">
        <v>47</v>
      </c>
      <c r="B31" s="86"/>
      <c r="C31" s="349">
        <f>SUM(C32:C33)</f>
        <v>100000</v>
      </c>
      <c r="D31" s="349">
        <f t="shared" ref="D31" si="18">SUM(D32:D33)</f>
        <v>0</v>
      </c>
      <c r="E31" s="349">
        <f t="shared" ref="E31" si="19">SUM(E32:E33)</f>
        <v>0</v>
      </c>
      <c r="F31" s="349">
        <f t="shared" ref="F31" si="20">SUM(F32:F33)</f>
        <v>-77000</v>
      </c>
      <c r="G31" s="349">
        <f t="shared" si="3"/>
        <v>23000</v>
      </c>
      <c r="H31" s="349">
        <f t="shared" ref="H31" si="21">SUM(H32:H33)</f>
        <v>23000</v>
      </c>
      <c r="I31" s="349">
        <f t="shared" ref="I31" si="22">SUM(I32:I33)</f>
        <v>0</v>
      </c>
      <c r="J31" s="349">
        <f t="shared" ref="J31" si="23">SUM(J32:J33)</f>
        <v>0</v>
      </c>
      <c r="K31" s="349">
        <f t="shared" si="4"/>
        <v>0</v>
      </c>
      <c r="L31" s="508">
        <f t="shared" si="1"/>
        <v>0</v>
      </c>
      <c r="M31" s="349">
        <f t="shared" si="5"/>
        <v>23000</v>
      </c>
      <c r="N31" s="515">
        <f t="shared" si="2"/>
        <v>100</v>
      </c>
      <c r="O31" s="546"/>
      <c r="P31" s="512"/>
    </row>
    <row r="32" spans="1:16" ht="57">
      <c r="A32" s="85"/>
      <c r="B32" s="86" t="s">
        <v>47</v>
      </c>
      <c r="C32" s="349">
        <v>100000</v>
      </c>
      <c r="D32" s="350"/>
      <c r="E32" s="349"/>
      <c r="F32" s="350">
        <v>-77000</v>
      </c>
      <c r="G32" s="350">
        <f t="shared" si="3"/>
        <v>23000</v>
      </c>
      <c r="H32" s="350">
        <v>23000</v>
      </c>
      <c r="I32" s="350"/>
      <c r="J32" s="349"/>
      <c r="K32" s="350">
        <f t="shared" si="4"/>
        <v>0</v>
      </c>
      <c r="L32" s="509">
        <f t="shared" si="1"/>
        <v>0</v>
      </c>
      <c r="M32" s="350">
        <f t="shared" si="5"/>
        <v>23000</v>
      </c>
      <c r="N32" s="516">
        <f t="shared" si="2"/>
        <v>100</v>
      </c>
      <c r="O32" s="543" t="s">
        <v>563</v>
      </c>
      <c r="P32" s="512" t="s">
        <v>562</v>
      </c>
    </row>
    <row r="33" spans="1:16" ht="12.75" customHeight="1">
      <c r="A33" s="85"/>
      <c r="B33" s="86" t="s">
        <v>49</v>
      </c>
      <c r="C33" s="349"/>
      <c r="D33" s="350"/>
      <c r="E33" s="349"/>
      <c r="F33" s="350"/>
      <c r="G33" s="350">
        <f t="shared" si="3"/>
        <v>0</v>
      </c>
      <c r="H33" s="350"/>
      <c r="I33" s="350"/>
      <c r="J33" s="349"/>
      <c r="K33" s="350">
        <f t="shared" si="4"/>
        <v>0</v>
      </c>
      <c r="L33" s="509">
        <f t="shared" si="1"/>
        <v>0</v>
      </c>
      <c r="M33" s="350">
        <f t="shared" si="5"/>
        <v>0</v>
      </c>
      <c r="N33" s="516">
        <f t="shared" si="2"/>
        <v>0</v>
      </c>
      <c r="O33" s="543"/>
      <c r="P33" s="512"/>
    </row>
    <row r="34" spans="1:16" ht="14.25" customHeight="1">
      <c r="A34" s="85" t="s">
        <v>48</v>
      </c>
      <c r="B34" s="86"/>
      <c r="C34" s="349">
        <f>SUM(C35:C36)</f>
        <v>50000</v>
      </c>
      <c r="D34" s="349">
        <f t="shared" ref="D34" si="24">SUM(D35:D36)</f>
        <v>0</v>
      </c>
      <c r="E34" s="349">
        <f t="shared" ref="E34" si="25">SUM(E35:E36)</f>
        <v>0</v>
      </c>
      <c r="F34" s="349">
        <f t="shared" ref="F34" si="26">SUM(F35:F36)</f>
        <v>32000</v>
      </c>
      <c r="G34" s="349">
        <f t="shared" si="3"/>
        <v>82000</v>
      </c>
      <c r="H34" s="349">
        <f t="shared" ref="H34" si="27">SUM(H35:H36)</f>
        <v>82000</v>
      </c>
      <c r="I34" s="349">
        <f t="shared" ref="I34" si="28">SUM(I35:I36)</f>
        <v>32000</v>
      </c>
      <c r="J34" s="349">
        <f t="shared" ref="J34" si="29">SUM(J35:J36)</f>
        <v>0</v>
      </c>
      <c r="K34" s="349">
        <f t="shared" si="4"/>
        <v>32000</v>
      </c>
      <c r="L34" s="508">
        <f>IF(K34=0,0,K34/H34)*100</f>
        <v>39.024390243902438</v>
      </c>
      <c r="M34" s="349">
        <f t="shared" si="5"/>
        <v>50000</v>
      </c>
      <c r="N34" s="515">
        <f t="shared" si="2"/>
        <v>60.975609756097562</v>
      </c>
      <c r="O34" s="546"/>
      <c r="P34" s="512"/>
    </row>
    <row r="35" spans="1:16" ht="57">
      <c r="A35" s="87"/>
      <c r="B35" s="86" t="s">
        <v>48</v>
      </c>
      <c r="C35" s="349">
        <v>50000</v>
      </c>
      <c r="D35" s="349"/>
      <c r="E35" s="349"/>
      <c r="F35" s="349">
        <v>32000</v>
      </c>
      <c r="G35" s="349">
        <f t="shared" si="3"/>
        <v>82000</v>
      </c>
      <c r="H35" s="349">
        <v>82000</v>
      </c>
      <c r="I35" s="349">
        <v>32000</v>
      </c>
      <c r="J35" s="349"/>
      <c r="K35" s="349">
        <f t="shared" si="4"/>
        <v>32000</v>
      </c>
      <c r="L35" s="508">
        <f t="shared" ref="L35:L41" si="30">IF(K35=0,0,K35/H35)*100</f>
        <v>39.024390243902438</v>
      </c>
      <c r="M35" s="349">
        <f t="shared" si="5"/>
        <v>50000</v>
      </c>
      <c r="N35" s="515">
        <f t="shared" si="2"/>
        <v>60.975609756097562</v>
      </c>
      <c r="O35" s="542" t="s">
        <v>564</v>
      </c>
      <c r="P35" s="512" t="s">
        <v>561</v>
      </c>
    </row>
    <row r="36" spans="1:16">
      <c r="A36" s="85"/>
      <c r="B36" s="86" t="s">
        <v>49</v>
      </c>
      <c r="C36" s="349"/>
      <c r="D36" s="349"/>
      <c r="E36" s="349"/>
      <c r="F36" s="349"/>
      <c r="G36" s="349">
        <f t="shared" si="3"/>
        <v>0</v>
      </c>
      <c r="H36" s="349"/>
      <c r="I36" s="349"/>
      <c r="J36" s="349"/>
      <c r="K36" s="349">
        <f t="shared" si="4"/>
        <v>0</v>
      </c>
      <c r="L36" s="508">
        <f t="shared" si="30"/>
        <v>0</v>
      </c>
      <c r="M36" s="349">
        <f t="shared" si="5"/>
        <v>0</v>
      </c>
      <c r="N36" s="515">
        <f t="shared" si="2"/>
        <v>0</v>
      </c>
      <c r="O36" s="546"/>
      <c r="P36" s="512"/>
    </row>
    <row r="37" spans="1:16" ht="14.25" customHeight="1">
      <c r="A37" s="85" t="s">
        <v>212</v>
      </c>
      <c r="B37" s="86"/>
      <c r="C37" s="349">
        <f>SUM(C38:C39)</f>
        <v>50000</v>
      </c>
      <c r="D37" s="349">
        <f t="shared" ref="D37" si="31">SUM(D38:D39)</f>
        <v>0</v>
      </c>
      <c r="E37" s="349">
        <f t="shared" ref="E37" si="32">SUM(E38:E39)</f>
        <v>0</v>
      </c>
      <c r="F37" s="349">
        <f t="shared" ref="F37" si="33">SUM(F38:F39)</f>
        <v>45000</v>
      </c>
      <c r="G37" s="349">
        <f t="shared" si="3"/>
        <v>95000</v>
      </c>
      <c r="H37" s="349">
        <f t="shared" ref="H37" si="34">SUM(H38:H39)</f>
        <v>95000</v>
      </c>
      <c r="I37" s="349">
        <f t="shared" ref="I37" si="35">SUM(I38:I39)</f>
        <v>90000</v>
      </c>
      <c r="J37" s="349">
        <f t="shared" ref="J37" si="36">SUM(J38:J39)</f>
        <v>0</v>
      </c>
      <c r="K37" s="349">
        <f t="shared" si="4"/>
        <v>90000</v>
      </c>
      <c r="L37" s="508">
        <f t="shared" si="30"/>
        <v>94.73684210526315</v>
      </c>
      <c r="M37" s="349">
        <f t="shared" si="5"/>
        <v>5000</v>
      </c>
      <c r="N37" s="515">
        <f t="shared" si="2"/>
        <v>5.2631578947368416</v>
      </c>
      <c r="O37" s="546"/>
      <c r="P37" s="512"/>
    </row>
    <row r="38" spans="1:16" ht="14.25" customHeight="1">
      <c r="A38" s="87"/>
      <c r="B38" s="86" t="s">
        <v>212</v>
      </c>
      <c r="C38" s="349">
        <v>50000</v>
      </c>
      <c r="D38" s="350"/>
      <c r="E38" s="349"/>
      <c r="F38" s="350">
        <v>45000</v>
      </c>
      <c r="G38" s="350">
        <f t="shared" si="3"/>
        <v>95000</v>
      </c>
      <c r="H38" s="350">
        <v>95000</v>
      </c>
      <c r="I38" s="350">
        <v>90000</v>
      </c>
      <c r="J38" s="349"/>
      <c r="K38" s="350">
        <f t="shared" si="4"/>
        <v>90000</v>
      </c>
      <c r="L38" s="509">
        <f t="shared" si="30"/>
        <v>94.73684210526315</v>
      </c>
      <c r="M38" s="349">
        <f t="shared" si="5"/>
        <v>5000</v>
      </c>
      <c r="N38" s="515">
        <f t="shared" si="2"/>
        <v>5.2631578947368416</v>
      </c>
      <c r="O38" s="546"/>
      <c r="P38" s="512"/>
    </row>
    <row r="39" spans="1:16">
      <c r="A39" s="85"/>
      <c r="B39" s="86" t="s">
        <v>49</v>
      </c>
      <c r="C39" s="349"/>
      <c r="D39" s="350"/>
      <c r="E39" s="349"/>
      <c r="F39" s="350"/>
      <c r="G39" s="350">
        <f t="shared" si="3"/>
        <v>0</v>
      </c>
      <c r="H39" s="350"/>
      <c r="I39" s="350"/>
      <c r="J39" s="349"/>
      <c r="K39" s="350">
        <f t="shared" si="4"/>
        <v>0</v>
      </c>
      <c r="L39" s="509">
        <f t="shared" si="30"/>
        <v>0</v>
      </c>
      <c r="M39" s="349">
        <f t="shared" si="5"/>
        <v>0</v>
      </c>
      <c r="N39" s="515">
        <f t="shared" si="2"/>
        <v>0</v>
      </c>
      <c r="O39" s="546"/>
      <c r="P39" s="512"/>
    </row>
    <row r="40" spans="1:16" ht="3.75" customHeight="1">
      <c r="A40" s="85"/>
      <c r="B40" s="86"/>
      <c r="C40" s="349"/>
      <c r="D40" s="349"/>
      <c r="E40" s="349"/>
      <c r="F40" s="349"/>
      <c r="G40" s="349">
        <f t="shared" si="3"/>
        <v>0</v>
      </c>
      <c r="H40" s="349"/>
      <c r="I40" s="349"/>
      <c r="J40" s="349"/>
      <c r="K40" s="349">
        <f t="shared" si="4"/>
        <v>0</v>
      </c>
      <c r="L40" s="508">
        <f t="shared" si="30"/>
        <v>0</v>
      </c>
      <c r="M40" s="349">
        <f t="shared" si="5"/>
        <v>0</v>
      </c>
      <c r="N40" s="515">
        <f t="shared" si="2"/>
        <v>0</v>
      </c>
      <c r="O40" s="546"/>
      <c r="P40" s="512"/>
    </row>
    <row r="41" spans="1:16" ht="14.25" customHeight="1">
      <c r="A41" s="91" t="s">
        <v>169</v>
      </c>
      <c r="B41" s="88"/>
      <c r="C41" s="351">
        <f>SUM(C21:C40)/2</f>
        <v>200000</v>
      </c>
      <c r="D41" s="351">
        <f t="shared" ref="D41:J41" si="37">SUM(D21:D40)/2</f>
        <v>0</v>
      </c>
      <c r="E41" s="351">
        <f t="shared" si="37"/>
        <v>0</v>
      </c>
      <c r="F41" s="351">
        <f t="shared" si="37"/>
        <v>0</v>
      </c>
      <c r="G41" s="351">
        <f t="shared" si="3"/>
        <v>200000</v>
      </c>
      <c r="H41" s="351">
        <f t="shared" si="37"/>
        <v>200000</v>
      </c>
      <c r="I41" s="351">
        <f t="shared" si="37"/>
        <v>122000</v>
      </c>
      <c r="J41" s="351">
        <f t="shared" si="37"/>
        <v>0</v>
      </c>
      <c r="K41" s="352">
        <f t="shared" si="4"/>
        <v>122000</v>
      </c>
      <c r="L41" s="510">
        <f t="shared" si="30"/>
        <v>61</v>
      </c>
      <c r="M41" s="351">
        <f t="shared" si="5"/>
        <v>78000</v>
      </c>
      <c r="N41" s="517">
        <f>IF(M41=0,0,M41/H41)*100</f>
        <v>39</v>
      </c>
      <c r="O41" s="544"/>
      <c r="P41" s="513"/>
    </row>
    <row r="42" spans="1:16">
      <c r="P42" s="12"/>
    </row>
  </sheetData>
  <mergeCells count="23">
    <mergeCell ref="A10:B20"/>
    <mergeCell ref="C10:G14"/>
    <mergeCell ref="G15:G20"/>
    <mergeCell ref="C15:C18"/>
    <mergeCell ref="D15:D18"/>
    <mergeCell ref="E15:E18"/>
    <mergeCell ref="F15:F18"/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&amp;R122-&amp;P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C16" sqref="C16"/>
      <selection pane="bottomLeft" activeCell="C16" sqref="C16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51"/>
      <c r="U1" s="751"/>
      <c r="V1" s="751"/>
      <c r="W1" s="751"/>
    </row>
    <row r="2" spans="1:24" ht="24.75" customHeight="1">
      <c r="A2" s="667" t="str">
        <f>封面!$A$4</f>
        <v>彰化縣地方教育發展基金－彰化縣彰化市民生國民小學</v>
      </c>
      <c r="B2" s="601"/>
      <c r="C2" s="601"/>
      <c r="D2" s="601"/>
      <c r="E2" s="601"/>
      <c r="F2" s="601"/>
      <c r="G2" s="601"/>
      <c r="H2" s="601"/>
      <c r="I2" s="601"/>
      <c r="J2" s="601"/>
      <c r="K2" s="601"/>
      <c r="L2" s="601"/>
      <c r="M2" s="601"/>
      <c r="N2" s="601"/>
      <c r="O2" s="601"/>
      <c r="P2" s="601"/>
      <c r="Q2" s="601"/>
      <c r="R2" s="601"/>
      <c r="S2" s="601"/>
      <c r="T2" s="601"/>
      <c r="U2" s="601"/>
      <c r="V2" s="601"/>
      <c r="W2" s="601"/>
    </row>
    <row r="3" spans="1:24" ht="20.25" customHeight="1">
      <c r="A3" s="702" t="s">
        <v>66</v>
      </c>
      <c r="B3" s="702"/>
      <c r="C3" s="702"/>
      <c r="D3" s="702"/>
      <c r="E3" s="702"/>
      <c r="F3" s="702"/>
      <c r="G3" s="702"/>
      <c r="H3" s="702"/>
      <c r="I3" s="702"/>
      <c r="J3" s="702"/>
      <c r="K3" s="702"/>
      <c r="L3" s="702"/>
      <c r="M3" s="702"/>
      <c r="N3" s="702"/>
      <c r="O3" s="702"/>
      <c r="P3" s="702"/>
      <c r="Q3" s="702"/>
      <c r="R3" s="702"/>
      <c r="S3" s="702"/>
      <c r="T3" s="702"/>
      <c r="U3" s="702"/>
      <c r="V3" s="702"/>
      <c r="W3" s="702"/>
    </row>
    <row r="4" spans="1:24" ht="20.25" customHeight="1">
      <c r="A4" s="665" t="str">
        <f>封面!$E$10&amp;封面!$H$10&amp;封面!$I$10&amp;封面!$J$10&amp;封面!$K$10&amp;封面!L10</f>
        <v>中華民國113年9月份</v>
      </c>
      <c r="B4" s="665"/>
      <c r="C4" s="665"/>
      <c r="D4" s="665"/>
      <c r="E4" s="665"/>
      <c r="F4" s="665"/>
      <c r="G4" s="665"/>
      <c r="H4" s="665"/>
      <c r="I4" s="665"/>
      <c r="J4" s="665"/>
      <c r="K4" s="665"/>
      <c r="L4" s="665"/>
      <c r="M4" s="665"/>
      <c r="N4" s="665"/>
      <c r="O4" s="665"/>
      <c r="P4" s="665"/>
      <c r="Q4" s="665"/>
      <c r="R4" s="665"/>
      <c r="S4" s="665"/>
      <c r="T4" s="665"/>
      <c r="U4" s="665"/>
      <c r="V4" s="665"/>
      <c r="W4" s="665"/>
    </row>
    <row r="5" spans="1:24" ht="16.5">
      <c r="S5" s="753" t="s">
        <v>1</v>
      </c>
      <c r="T5" s="601"/>
      <c r="U5" s="601"/>
      <c r="V5" s="601"/>
      <c r="W5" s="601"/>
    </row>
    <row r="6" spans="1:24" ht="14.25" hidden="1"/>
    <row r="7" spans="1:24" ht="8.1" customHeight="1">
      <c r="A7" s="707" t="s">
        <v>6</v>
      </c>
      <c r="B7" s="752"/>
      <c r="C7" s="752"/>
      <c r="D7" s="752"/>
      <c r="E7" s="752"/>
      <c r="F7" s="752"/>
      <c r="G7" s="752"/>
      <c r="H7" s="752"/>
      <c r="I7" s="752"/>
      <c r="J7" s="752"/>
      <c r="K7" s="752"/>
      <c r="L7" s="752"/>
      <c r="M7" s="752"/>
      <c r="N7" s="707" t="s">
        <v>68</v>
      </c>
      <c r="O7" s="750"/>
      <c r="P7" s="707" t="s">
        <v>69</v>
      </c>
      <c r="Q7" s="750"/>
      <c r="R7" s="707" t="s">
        <v>67</v>
      </c>
      <c r="S7" s="750"/>
      <c r="T7" s="750"/>
      <c r="U7" s="750"/>
      <c r="V7" s="750"/>
      <c r="W7" s="750"/>
      <c r="X7" s="6"/>
    </row>
    <row r="8" spans="1:24" ht="8.1" customHeight="1">
      <c r="A8" s="752"/>
      <c r="B8" s="752"/>
      <c r="C8" s="752"/>
      <c r="D8" s="752"/>
      <c r="E8" s="752"/>
      <c r="F8" s="752"/>
      <c r="G8" s="752"/>
      <c r="H8" s="752"/>
      <c r="I8" s="752"/>
      <c r="J8" s="752"/>
      <c r="K8" s="752"/>
      <c r="L8" s="752"/>
      <c r="M8" s="752"/>
      <c r="N8" s="750"/>
      <c r="O8" s="750"/>
      <c r="P8" s="750"/>
      <c r="Q8" s="750"/>
      <c r="R8" s="750"/>
      <c r="S8" s="750"/>
      <c r="T8" s="750"/>
      <c r="U8" s="750"/>
      <c r="V8" s="750"/>
      <c r="W8" s="750"/>
      <c r="X8" s="6"/>
    </row>
    <row r="9" spans="1:24" ht="8.1" customHeight="1">
      <c r="A9" s="752"/>
      <c r="B9" s="752"/>
      <c r="C9" s="752"/>
      <c r="D9" s="752"/>
      <c r="E9" s="752"/>
      <c r="F9" s="752"/>
      <c r="G9" s="752"/>
      <c r="H9" s="752"/>
      <c r="I9" s="752"/>
      <c r="J9" s="752"/>
      <c r="K9" s="752"/>
      <c r="L9" s="752"/>
      <c r="M9" s="752"/>
      <c r="N9" s="750"/>
      <c r="O9" s="750"/>
      <c r="P9" s="750"/>
      <c r="Q9" s="750"/>
      <c r="R9" s="707" t="s">
        <v>4</v>
      </c>
      <c r="S9" s="750"/>
      <c r="T9" s="750"/>
      <c r="U9" s="750"/>
      <c r="V9" s="67"/>
      <c r="W9" s="754" t="s">
        <v>150</v>
      </c>
      <c r="X9" s="6"/>
    </row>
    <row r="10" spans="1:24" ht="8.1" customHeight="1">
      <c r="A10" s="752"/>
      <c r="B10" s="752"/>
      <c r="C10" s="752"/>
      <c r="D10" s="752"/>
      <c r="E10" s="752"/>
      <c r="F10" s="752"/>
      <c r="G10" s="752"/>
      <c r="H10" s="752"/>
      <c r="I10" s="752"/>
      <c r="J10" s="752"/>
      <c r="K10" s="752"/>
      <c r="L10" s="752"/>
      <c r="M10" s="752"/>
      <c r="N10" s="750"/>
      <c r="O10" s="750"/>
      <c r="P10" s="750"/>
      <c r="Q10" s="750"/>
      <c r="R10" s="750"/>
      <c r="S10" s="750"/>
      <c r="T10" s="750"/>
      <c r="U10" s="750"/>
      <c r="V10" s="68"/>
      <c r="W10" s="711"/>
      <c r="X10" s="6"/>
    </row>
    <row r="11" spans="1:24" hidden="1">
      <c r="A11" s="752"/>
      <c r="B11" s="752"/>
      <c r="C11" s="752"/>
      <c r="D11" s="752"/>
      <c r="E11" s="752"/>
      <c r="F11" s="752"/>
      <c r="G11" s="752"/>
      <c r="H11" s="752"/>
      <c r="I11" s="752"/>
      <c r="J11" s="752"/>
      <c r="K11" s="752"/>
      <c r="L11" s="752"/>
      <c r="M11" s="752"/>
      <c r="N11" s="750"/>
      <c r="O11" s="750"/>
      <c r="P11" s="750"/>
      <c r="Q11" s="750"/>
      <c r="R11" s="750"/>
      <c r="S11" s="750"/>
      <c r="T11" s="750"/>
      <c r="U11" s="750"/>
      <c r="V11" s="68"/>
      <c r="W11" s="68"/>
      <c r="X11" s="6"/>
    </row>
    <row r="12" spans="1:24" ht="15.75" customHeight="1">
      <c r="A12" s="219"/>
      <c r="B12" s="74" t="s">
        <v>480</v>
      </c>
      <c r="C12" s="74"/>
      <c r="D12" s="74"/>
      <c r="E12" s="74"/>
      <c r="F12" s="74" t="s">
        <v>565</v>
      </c>
      <c r="G12" s="74"/>
      <c r="H12" s="74"/>
      <c r="I12" s="74"/>
      <c r="J12" s="74"/>
      <c r="K12" s="74"/>
      <c r="L12" s="74"/>
      <c r="M12" s="220"/>
      <c r="N12" s="225"/>
      <c r="O12" s="226">
        <v>133849000</v>
      </c>
      <c r="P12" s="227"/>
      <c r="Q12" s="226">
        <v>114913792</v>
      </c>
      <c r="R12" s="227"/>
      <c r="S12" s="226">
        <v>-18935208</v>
      </c>
      <c r="T12" s="226"/>
      <c r="U12" s="226"/>
      <c r="V12" s="227"/>
      <c r="W12" s="226" t="s">
        <v>566</v>
      </c>
      <c r="X12" s="6"/>
    </row>
    <row r="13" spans="1:24" ht="15.75" customHeight="1">
      <c r="A13" s="221"/>
      <c r="B13" s="75"/>
      <c r="C13" s="318" t="s">
        <v>482</v>
      </c>
      <c r="D13" s="318"/>
      <c r="E13" s="318"/>
      <c r="F13" s="75"/>
      <c r="G13" s="75" t="s">
        <v>567</v>
      </c>
      <c r="H13" s="75"/>
      <c r="I13" s="75"/>
      <c r="J13" s="75"/>
      <c r="K13" s="75"/>
      <c r="L13" s="75"/>
      <c r="M13" s="222"/>
      <c r="N13" s="228"/>
      <c r="O13" s="229"/>
      <c r="P13" s="229"/>
      <c r="Q13" s="230">
        <v>75528616</v>
      </c>
      <c r="R13" s="229"/>
      <c r="S13" s="230">
        <v>75528616</v>
      </c>
      <c r="T13" s="230"/>
      <c r="U13" s="230"/>
      <c r="V13" s="229"/>
      <c r="W13" s="229"/>
      <c r="X13" s="6"/>
    </row>
    <row r="14" spans="1:24" ht="15.75" customHeight="1">
      <c r="A14" s="221"/>
      <c r="B14" s="75"/>
      <c r="C14" s="318"/>
      <c r="D14" s="318" t="s">
        <v>568</v>
      </c>
      <c r="E14" s="318"/>
      <c r="F14" s="75"/>
      <c r="G14" s="75"/>
      <c r="H14" s="75"/>
      <c r="I14" s="75" t="s">
        <v>569</v>
      </c>
      <c r="J14" s="75"/>
      <c r="K14" s="75"/>
      <c r="L14" s="75"/>
      <c r="M14" s="222"/>
      <c r="N14" s="228"/>
      <c r="O14" s="229"/>
      <c r="P14" s="229"/>
      <c r="Q14" s="230">
        <v>74793216</v>
      </c>
      <c r="R14" s="229"/>
      <c r="S14" s="230">
        <v>74793216</v>
      </c>
      <c r="T14" s="230"/>
      <c r="U14" s="230"/>
      <c r="V14" s="229"/>
      <c r="W14" s="229"/>
      <c r="X14" s="6"/>
    </row>
    <row r="15" spans="1:24" ht="15.75" customHeight="1">
      <c r="A15" s="221"/>
      <c r="B15" s="75"/>
      <c r="C15" s="318"/>
      <c r="D15" s="318" t="s">
        <v>570</v>
      </c>
      <c r="E15" s="318"/>
      <c r="F15" s="75"/>
      <c r="G15" s="75"/>
      <c r="H15" s="75"/>
      <c r="I15" s="75" t="s">
        <v>571</v>
      </c>
      <c r="J15" s="75"/>
      <c r="K15" s="75"/>
      <c r="L15" s="75"/>
      <c r="M15" s="222"/>
      <c r="N15" s="228"/>
      <c r="O15" s="229"/>
      <c r="P15" s="229"/>
      <c r="Q15" s="230">
        <v>735400</v>
      </c>
      <c r="R15" s="229"/>
      <c r="S15" s="230">
        <v>735400</v>
      </c>
      <c r="T15" s="230"/>
      <c r="U15" s="230"/>
      <c r="V15" s="229"/>
      <c r="W15" s="229"/>
      <c r="X15" s="6"/>
    </row>
    <row r="16" spans="1:24" ht="15.75" customHeight="1">
      <c r="A16" s="221"/>
      <c r="B16" s="75"/>
      <c r="C16" s="318" t="s">
        <v>498</v>
      </c>
      <c r="D16" s="318"/>
      <c r="E16" s="318"/>
      <c r="F16" s="75"/>
      <c r="G16" s="75" t="s">
        <v>572</v>
      </c>
      <c r="H16" s="75"/>
      <c r="I16" s="75"/>
      <c r="J16" s="75"/>
      <c r="K16" s="75"/>
      <c r="L16" s="75"/>
      <c r="M16" s="222"/>
      <c r="N16" s="228"/>
      <c r="O16" s="229"/>
      <c r="P16" s="229"/>
      <c r="Q16" s="230">
        <v>1682352</v>
      </c>
      <c r="R16" s="229"/>
      <c r="S16" s="230">
        <v>1682352</v>
      </c>
      <c r="T16" s="230"/>
      <c r="U16" s="230"/>
      <c r="V16" s="229"/>
      <c r="W16" s="229"/>
      <c r="X16" s="6"/>
    </row>
    <row r="17" spans="1:24" ht="15.75" customHeight="1">
      <c r="A17" s="221"/>
      <c r="B17" s="75"/>
      <c r="C17" s="318"/>
      <c r="D17" s="318" t="s">
        <v>573</v>
      </c>
      <c r="E17" s="318"/>
      <c r="F17" s="75"/>
      <c r="G17" s="75"/>
      <c r="H17" s="75"/>
      <c r="I17" s="75" t="s">
        <v>574</v>
      </c>
      <c r="J17" s="75"/>
      <c r="K17" s="75"/>
      <c r="L17" s="75"/>
      <c r="M17" s="222"/>
      <c r="N17" s="228"/>
      <c r="O17" s="229"/>
      <c r="P17" s="229"/>
      <c r="Q17" s="230">
        <v>1682352</v>
      </c>
      <c r="R17" s="229"/>
      <c r="S17" s="230">
        <v>1682352</v>
      </c>
      <c r="T17" s="230"/>
      <c r="U17" s="230"/>
      <c r="V17" s="229"/>
      <c r="W17" s="229"/>
      <c r="X17" s="6"/>
    </row>
    <row r="18" spans="1:24" ht="15.75" customHeight="1">
      <c r="A18" s="221"/>
      <c r="B18" s="75"/>
      <c r="C18" s="318" t="s">
        <v>575</v>
      </c>
      <c r="D18" s="318"/>
      <c r="E18" s="318"/>
      <c r="F18" s="75"/>
      <c r="G18" s="75" t="s">
        <v>576</v>
      </c>
      <c r="H18" s="75"/>
      <c r="I18" s="75"/>
      <c r="J18" s="75"/>
      <c r="K18" s="75"/>
      <c r="L18" s="75"/>
      <c r="M18" s="222"/>
      <c r="N18" s="228"/>
      <c r="O18" s="229"/>
      <c r="P18" s="229"/>
      <c r="Q18" s="230">
        <v>1057526</v>
      </c>
      <c r="R18" s="229"/>
      <c r="S18" s="230">
        <v>1057526</v>
      </c>
      <c r="T18" s="230"/>
      <c r="U18" s="230"/>
      <c r="V18" s="229"/>
      <c r="W18" s="229"/>
      <c r="X18" s="6"/>
    </row>
    <row r="19" spans="1:24" ht="15.75" customHeight="1">
      <c r="A19" s="221"/>
      <c r="B19" s="75"/>
      <c r="C19" s="318"/>
      <c r="D19" s="318" t="s">
        <v>577</v>
      </c>
      <c r="E19" s="318"/>
      <c r="F19" s="75"/>
      <c r="G19" s="75"/>
      <c r="H19" s="75"/>
      <c r="I19" s="75" t="s">
        <v>578</v>
      </c>
      <c r="J19" s="75"/>
      <c r="K19" s="75"/>
      <c r="L19" s="75"/>
      <c r="M19" s="222"/>
      <c r="N19" s="228"/>
      <c r="O19" s="229"/>
      <c r="P19" s="229"/>
      <c r="Q19" s="230">
        <v>1057526</v>
      </c>
      <c r="R19" s="229"/>
      <c r="S19" s="230">
        <v>1057526</v>
      </c>
      <c r="T19" s="230"/>
      <c r="U19" s="230"/>
      <c r="V19" s="229"/>
      <c r="W19" s="229"/>
      <c r="X19" s="6"/>
    </row>
    <row r="20" spans="1:24" ht="15.75" customHeight="1">
      <c r="A20" s="221"/>
      <c r="B20" s="75"/>
      <c r="C20" s="318" t="s">
        <v>579</v>
      </c>
      <c r="D20" s="318"/>
      <c r="E20" s="318"/>
      <c r="F20" s="75"/>
      <c r="G20" s="75" t="s">
        <v>580</v>
      </c>
      <c r="H20" s="75"/>
      <c r="I20" s="75"/>
      <c r="J20" s="75"/>
      <c r="K20" s="75"/>
      <c r="L20" s="75"/>
      <c r="M20" s="222"/>
      <c r="N20" s="228"/>
      <c r="O20" s="229"/>
      <c r="P20" s="229"/>
      <c r="Q20" s="230">
        <v>22529814</v>
      </c>
      <c r="R20" s="229"/>
      <c r="S20" s="230">
        <v>22529814</v>
      </c>
      <c r="T20" s="230"/>
      <c r="U20" s="230"/>
      <c r="V20" s="229"/>
      <c r="W20" s="229"/>
      <c r="X20" s="6"/>
    </row>
    <row r="21" spans="1:24" ht="15.75" customHeight="1">
      <c r="A21" s="221"/>
      <c r="B21" s="75"/>
      <c r="C21" s="318"/>
      <c r="D21" s="318" t="s">
        <v>581</v>
      </c>
      <c r="E21" s="318"/>
      <c r="F21" s="75"/>
      <c r="G21" s="75"/>
      <c r="H21" s="75"/>
      <c r="I21" s="75" t="s">
        <v>582</v>
      </c>
      <c r="J21" s="75"/>
      <c r="K21" s="75"/>
      <c r="L21" s="75"/>
      <c r="M21" s="222"/>
      <c r="N21" s="228"/>
      <c r="O21" s="229"/>
      <c r="P21" s="229"/>
      <c r="Q21" s="230">
        <v>11946310</v>
      </c>
      <c r="R21" s="229"/>
      <c r="S21" s="230">
        <v>11946310</v>
      </c>
      <c r="T21" s="230"/>
      <c r="U21" s="230"/>
      <c r="V21" s="229"/>
      <c r="W21" s="229"/>
      <c r="X21" s="6"/>
    </row>
    <row r="22" spans="1:24" ht="15.75" customHeight="1">
      <c r="A22" s="221"/>
      <c r="B22" s="75"/>
      <c r="C22" s="318"/>
      <c r="D22" s="318" t="s">
        <v>583</v>
      </c>
      <c r="E22" s="318"/>
      <c r="F22" s="75"/>
      <c r="G22" s="75"/>
      <c r="H22" s="75"/>
      <c r="I22" s="75" t="s">
        <v>584</v>
      </c>
      <c r="J22" s="75"/>
      <c r="K22" s="75"/>
      <c r="L22" s="75"/>
      <c r="M22" s="222"/>
      <c r="N22" s="228"/>
      <c r="O22" s="229"/>
      <c r="P22" s="229"/>
      <c r="Q22" s="230">
        <v>10583504</v>
      </c>
      <c r="R22" s="229"/>
      <c r="S22" s="230">
        <v>10583504</v>
      </c>
      <c r="T22" s="230"/>
      <c r="U22" s="230"/>
      <c r="V22" s="229"/>
      <c r="W22" s="229"/>
      <c r="X22" s="6"/>
    </row>
    <row r="23" spans="1:24" ht="15.75" customHeight="1">
      <c r="A23" s="221"/>
      <c r="B23" s="75"/>
      <c r="C23" s="75" t="s">
        <v>529</v>
      </c>
      <c r="D23" s="75"/>
      <c r="E23" s="75"/>
      <c r="F23" s="75"/>
      <c r="G23" s="75" t="s">
        <v>585</v>
      </c>
      <c r="H23" s="75"/>
      <c r="I23" s="75"/>
      <c r="J23" s="75"/>
      <c r="K23" s="75"/>
      <c r="L23" s="75"/>
      <c r="M23" s="222"/>
      <c r="N23" s="228"/>
      <c r="O23" s="229"/>
      <c r="P23" s="229"/>
      <c r="Q23" s="230">
        <v>8016507</v>
      </c>
      <c r="R23" s="229"/>
      <c r="S23" s="230">
        <v>8016507</v>
      </c>
      <c r="T23" s="230"/>
      <c r="U23" s="230"/>
      <c r="V23" s="229"/>
      <c r="W23" s="229"/>
      <c r="X23" s="6"/>
    </row>
    <row r="24" spans="1:24" ht="15.75" customHeight="1">
      <c r="A24" s="221"/>
      <c r="B24" s="75"/>
      <c r="C24" s="75"/>
      <c r="D24" s="75" t="s">
        <v>586</v>
      </c>
      <c r="E24" s="75"/>
      <c r="F24" s="75"/>
      <c r="G24" s="75"/>
      <c r="H24" s="75"/>
      <c r="I24" s="75" t="s">
        <v>587</v>
      </c>
      <c r="J24" s="75"/>
      <c r="K24" s="75"/>
      <c r="L24" s="75"/>
      <c r="M24" s="222"/>
      <c r="N24" s="228"/>
      <c r="O24" s="229"/>
      <c r="P24" s="229"/>
      <c r="Q24" s="230">
        <v>8016507</v>
      </c>
      <c r="R24" s="229"/>
      <c r="S24" s="230">
        <v>8016507</v>
      </c>
      <c r="T24" s="230"/>
      <c r="U24" s="230"/>
      <c r="V24" s="229"/>
      <c r="W24" s="229"/>
      <c r="X24" s="6"/>
    </row>
    <row r="25" spans="1:24" ht="15.75" customHeight="1">
      <c r="A25" s="221"/>
      <c r="B25" s="75"/>
      <c r="C25" s="75" t="s">
        <v>588</v>
      </c>
      <c r="D25" s="75"/>
      <c r="E25" s="75"/>
      <c r="F25" s="75"/>
      <c r="G25" s="75" t="s">
        <v>589</v>
      </c>
      <c r="H25" s="75"/>
      <c r="I25" s="75"/>
      <c r="J25" s="75"/>
      <c r="K25" s="75"/>
      <c r="L25" s="75"/>
      <c r="M25" s="222"/>
      <c r="N25" s="228"/>
      <c r="O25" s="229"/>
      <c r="P25" s="229"/>
      <c r="Q25" s="230">
        <v>6098977</v>
      </c>
      <c r="R25" s="229"/>
      <c r="S25" s="230">
        <v>6098977</v>
      </c>
      <c r="T25" s="230"/>
      <c r="U25" s="230"/>
      <c r="V25" s="229"/>
      <c r="W25" s="229"/>
      <c r="X25" s="6"/>
    </row>
    <row r="26" spans="1:24" ht="15.75" customHeight="1">
      <c r="A26" s="221"/>
      <c r="B26" s="75"/>
      <c r="C26" s="75"/>
      <c r="D26" s="75" t="s">
        <v>590</v>
      </c>
      <c r="E26" s="75"/>
      <c r="F26" s="75"/>
      <c r="G26" s="75"/>
      <c r="H26" s="75"/>
      <c r="I26" s="75" t="s">
        <v>591</v>
      </c>
      <c r="J26" s="75"/>
      <c r="K26" s="75"/>
      <c r="L26" s="75"/>
      <c r="M26" s="222"/>
      <c r="N26" s="228"/>
      <c r="O26" s="229"/>
      <c r="P26" s="229"/>
      <c r="Q26" s="230">
        <v>5792502</v>
      </c>
      <c r="R26" s="229"/>
      <c r="S26" s="230">
        <v>5792502</v>
      </c>
      <c r="T26" s="230"/>
      <c r="U26" s="230"/>
      <c r="V26" s="229"/>
      <c r="W26" s="229"/>
      <c r="X26" s="6"/>
    </row>
    <row r="27" spans="1:24" ht="15.75" customHeight="1">
      <c r="A27" s="221"/>
      <c r="B27" s="75"/>
      <c r="C27" s="75"/>
      <c r="D27" s="75" t="s">
        <v>592</v>
      </c>
      <c r="E27" s="75"/>
      <c r="F27" s="75"/>
      <c r="G27" s="75"/>
      <c r="H27" s="75"/>
      <c r="I27" s="75" t="s">
        <v>593</v>
      </c>
      <c r="J27" s="75"/>
      <c r="K27" s="75"/>
      <c r="L27" s="75"/>
      <c r="M27" s="222"/>
      <c r="N27" s="228"/>
      <c r="O27" s="229"/>
      <c r="P27" s="229"/>
      <c r="Q27" s="230">
        <v>306475</v>
      </c>
      <c r="R27" s="229"/>
      <c r="S27" s="230">
        <v>306475</v>
      </c>
      <c r="T27" s="230"/>
      <c r="U27" s="230"/>
      <c r="V27" s="229"/>
      <c r="W27" s="229"/>
      <c r="X27" s="6"/>
    </row>
    <row r="28" spans="1:24" ht="15.75" customHeight="1">
      <c r="A28" s="221"/>
      <c r="B28" s="75" t="s">
        <v>546</v>
      </c>
      <c r="C28" s="75"/>
      <c r="D28" s="75"/>
      <c r="E28" s="75"/>
      <c r="F28" s="75" t="s">
        <v>594</v>
      </c>
      <c r="G28" s="75"/>
      <c r="H28" s="75"/>
      <c r="I28" s="75"/>
      <c r="J28" s="75"/>
      <c r="K28" s="75"/>
      <c r="L28" s="75"/>
      <c r="M28" s="222"/>
      <c r="N28" s="228"/>
      <c r="O28" s="230">
        <v>3434000</v>
      </c>
      <c r="P28" s="229"/>
      <c r="Q28" s="230">
        <v>2298431</v>
      </c>
      <c r="R28" s="229"/>
      <c r="S28" s="230">
        <v>-1135569</v>
      </c>
      <c r="T28" s="230"/>
      <c r="U28" s="230"/>
      <c r="V28" s="229"/>
      <c r="W28" s="230" t="s">
        <v>595</v>
      </c>
      <c r="X28" s="6"/>
    </row>
    <row r="29" spans="1:24" ht="15.75" customHeight="1">
      <c r="A29" s="221"/>
      <c r="B29" s="75"/>
      <c r="C29" s="75" t="s">
        <v>547</v>
      </c>
      <c r="D29" s="75"/>
      <c r="E29" s="75"/>
      <c r="F29" s="75"/>
      <c r="G29" s="75" t="s">
        <v>596</v>
      </c>
      <c r="H29" s="75"/>
      <c r="I29" s="75"/>
      <c r="J29" s="75"/>
      <c r="K29" s="75"/>
      <c r="L29" s="75"/>
      <c r="M29" s="222"/>
      <c r="N29" s="228"/>
      <c r="O29" s="229"/>
      <c r="P29" s="229"/>
      <c r="Q29" s="230">
        <v>691460</v>
      </c>
      <c r="R29" s="229"/>
      <c r="S29" s="230">
        <v>691460</v>
      </c>
      <c r="T29" s="230"/>
      <c r="U29" s="230"/>
      <c r="V29" s="229"/>
      <c r="W29" s="229"/>
      <c r="X29" s="6"/>
    </row>
    <row r="30" spans="1:24" ht="15.75" customHeight="1">
      <c r="A30" s="221"/>
      <c r="B30" s="75"/>
      <c r="C30" s="75"/>
      <c r="D30" s="75" t="s">
        <v>597</v>
      </c>
      <c r="E30" s="75"/>
      <c r="F30" s="75"/>
      <c r="G30" s="75"/>
      <c r="H30" s="75"/>
      <c r="I30" s="75" t="s">
        <v>598</v>
      </c>
      <c r="J30" s="75"/>
      <c r="K30" s="75"/>
      <c r="L30" s="75"/>
      <c r="M30" s="222"/>
      <c r="N30" s="228"/>
      <c r="O30" s="229"/>
      <c r="P30" s="229"/>
      <c r="Q30" s="230">
        <v>639976</v>
      </c>
      <c r="R30" s="229"/>
      <c r="S30" s="230">
        <v>639976</v>
      </c>
      <c r="T30" s="230"/>
      <c r="U30" s="230"/>
      <c r="V30" s="229"/>
      <c r="W30" s="229"/>
      <c r="X30" s="6"/>
    </row>
    <row r="31" spans="1:24" ht="15.75" customHeight="1">
      <c r="A31" s="221"/>
      <c r="B31" s="75"/>
      <c r="C31" s="75"/>
      <c r="D31" s="75" t="s">
        <v>599</v>
      </c>
      <c r="E31" s="75"/>
      <c r="F31" s="75"/>
      <c r="G31" s="75"/>
      <c r="H31" s="75"/>
      <c r="I31" s="75" t="s">
        <v>600</v>
      </c>
      <c r="J31" s="75"/>
      <c r="K31" s="75"/>
      <c r="L31" s="75"/>
      <c r="M31" s="222"/>
      <c r="N31" s="228"/>
      <c r="O31" s="229"/>
      <c r="P31" s="229"/>
      <c r="Q31" s="230">
        <v>51484</v>
      </c>
      <c r="R31" s="229"/>
      <c r="S31" s="230">
        <v>51484</v>
      </c>
      <c r="T31" s="230"/>
      <c r="U31" s="230"/>
      <c r="V31" s="229"/>
      <c r="W31" s="229"/>
      <c r="X31" s="6"/>
    </row>
    <row r="32" spans="1:24" ht="15.75" customHeight="1">
      <c r="A32" s="221"/>
      <c r="B32" s="75"/>
      <c r="C32" s="75" t="s">
        <v>601</v>
      </c>
      <c r="D32" s="75"/>
      <c r="E32" s="75"/>
      <c r="F32" s="75"/>
      <c r="G32" s="75" t="s">
        <v>602</v>
      </c>
      <c r="H32" s="75"/>
      <c r="I32" s="75"/>
      <c r="J32" s="75"/>
      <c r="K32" s="75"/>
      <c r="L32" s="75"/>
      <c r="M32" s="222"/>
      <c r="N32" s="228"/>
      <c r="O32" s="229"/>
      <c r="P32" s="229"/>
      <c r="Q32" s="230">
        <v>61900</v>
      </c>
      <c r="R32" s="229"/>
      <c r="S32" s="230">
        <v>61900</v>
      </c>
      <c r="T32" s="230"/>
      <c r="U32" s="230"/>
      <c r="V32" s="229"/>
      <c r="W32" s="229"/>
      <c r="X32" s="6"/>
    </row>
    <row r="33" spans="1:24" ht="15.75" customHeight="1">
      <c r="A33" s="221"/>
      <c r="B33" s="75"/>
      <c r="C33" s="75"/>
      <c r="D33" s="75" t="s">
        <v>603</v>
      </c>
      <c r="E33" s="75"/>
      <c r="F33" s="75"/>
      <c r="G33" s="75"/>
      <c r="H33" s="75"/>
      <c r="I33" s="75" t="s">
        <v>604</v>
      </c>
      <c r="J33" s="75"/>
      <c r="K33" s="75"/>
      <c r="L33" s="75"/>
      <c r="M33" s="222"/>
      <c r="N33" s="228"/>
      <c r="O33" s="229"/>
      <c r="P33" s="229"/>
      <c r="Q33" s="230">
        <v>9514</v>
      </c>
      <c r="R33" s="229"/>
      <c r="S33" s="230">
        <v>9514</v>
      </c>
      <c r="T33" s="230"/>
      <c r="U33" s="230"/>
      <c r="V33" s="229"/>
      <c r="W33" s="229"/>
      <c r="X33" s="6"/>
    </row>
    <row r="34" spans="1:24" ht="15.75" customHeight="1">
      <c r="A34" s="221"/>
      <c r="B34" s="75"/>
      <c r="C34" s="75"/>
      <c r="D34" s="75" t="s">
        <v>605</v>
      </c>
      <c r="E34" s="75"/>
      <c r="F34" s="75"/>
      <c r="G34" s="75"/>
      <c r="H34" s="75"/>
      <c r="I34" s="75" t="s">
        <v>606</v>
      </c>
      <c r="J34" s="75"/>
      <c r="K34" s="75"/>
      <c r="L34" s="75"/>
      <c r="M34" s="222"/>
      <c r="N34" s="228"/>
      <c r="O34" s="229"/>
      <c r="P34" s="229"/>
      <c r="Q34" s="230">
        <v>52386</v>
      </c>
      <c r="R34" s="229"/>
      <c r="S34" s="230">
        <v>52386</v>
      </c>
      <c r="T34" s="230"/>
      <c r="U34" s="230"/>
      <c r="V34" s="229"/>
      <c r="W34" s="229"/>
      <c r="X34" s="6"/>
    </row>
    <row r="35" spans="1:24" ht="15.75" customHeight="1">
      <c r="A35" s="221"/>
      <c r="B35" s="75"/>
      <c r="C35" s="75" t="s">
        <v>607</v>
      </c>
      <c r="D35" s="75"/>
      <c r="E35" s="75"/>
      <c r="F35" s="75"/>
      <c r="G35" s="75" t="s">
        <v>608</v>
      </c>
      <c r="H35" s="75"/>
      <c r="I35" s="75"/>
      <c r="J35" s="75"/>
      <c r="K35" s="75"/>
      <c r="L35" s="75"/>
      <c r="M35" s="222"/>
      <c r="N35" s="228"/>
      <c r="O35" s="229"/>
      <c r="P35" s="229"/>
      <c r="Q35" s="230">
        <v>23168</v>
      </c>
      <c r="R35" s="229"/>
      <c r="S35" s="230">
        <v>23168</v>
      </c>
      <c r="T35" s="230"/>
      <c r="U35" s="230"/>
      <c r="V35" s="229"/>
      <c r="W35" s="229"/>
      <c r="X35" s="6"/>
    </row>
    <row r="36" spans="1:24" ht="15.6" customHeight="1">
      <c r="A36" s="223"/>
      <c r="B36" s="76"/>
      <c r="C36" s="76"/>
      <c r="D36" s="76" t="s">
        <v>609</v>
      </c>
      <c r="E36" s="76"/>
      <c r="F36" s="76"/>
      <c r="G36" s="76"/>
      <c r="H36" s="76"/>
      <c r="I36" s="76" t="s">
        <v>610</v>
      </c>
      <c r="J36" s="76"/>
      <c r="K36" s="76"/>
      <c r="L36" s="76"/>
      <c r="M36" s="224"/>
      <c r="N36" s="231"/>
      <c r="O36" s="232"/>
      <c r="P36" s="232"/>
      <c r="Q36" s="233">
        <v>23168</v>
      </c>
      <c r="R36" s="232"/>
      <c r="S36" s="233">
        <v>23168</v>
      </c>
      <c r="T36" s="233"/>
      <c r="U36" s="233"/>
      <c r="V36" s="232"/>
      <c r="W36" s="232"/>
      <c r="X36" s="6"/>
    </row>
    <row r="37" spans="1:24" ht="15.75" customHeight="1">
      <c r="A37" s="219"/>
      <c r="B37" s="74"/>
      <c r="C37" s="74" t="s">
        <v>611</v>
      </c>
      <c r="D37" s="74"/>
      <c r="E37" s="74"/>
      <c r="F37" s="74"/>
      <c r="G37" s="74" t="s">
        <v>612</v>
      </c>
      <c r="H37" s="74"/>
      <c r="I37" s="74"/>
      <c r="J37" s="74"/>
      <c r="K37" s="74"/>
      <c r="L37" s="74"/>
      <c r="M37" s="220"/>
      <c r="N37" s="225"/>
      <c r="O37" s="227"/>
      <c r="P37" s="227"/>
      <c r="Q37" s="226">
        <v>23218</v>
      </c>
      <c r="R37" s="227"/>
      <c r="S37" s="226">
        <v>23218</v>
      </c>
      <c r="T37" s="226"/>
      <c r="U37" s="226"/>
      <c r="V37" s="227"/>
      <c r="W37" s="227"/>
      <c r="X37" s="6"/>
    </row>
    <row r="38" spans="1:24" ht="15.75" customHeight="1">
      <c r="A38" s="221"/>
      <c r="B38" s="75"/>
      <c r="C38" s="75"/>
      <c r="D38" s="75" t="s">
        <v>613</v>
      </c>
      <c r="E38" s="75"/>
      <c r="F38" s="75"/>
      <c r="G38" s="75"/>
      <c r="H38" s="75"/>
      <c r="I38" s="75" t="s">
        <v>614</v>
      </c>
      <c r="J38" s="75"/>
      <c r="K38" s="75"/>
      <c r="L38" s="75"/>
      <c r="M38" s="222"/>
      <c r="N38" s="228"/>
      <c r="O38" s="229"/>
      <c r="P38" s="229"/>
      <c r="Q38" s="230">
        <v>23218</v>
      </c>
      <c r="R38" s="229"/>
      <c r="S38" s="230">
        <v>23218</v>
      </c>
      <c r="T38" s="230"/>
      <c r="U38" s="230"/>
      <c r="V38" s="229"/>
      <c r="W38" s="229"/>
      <c r="X38" s="6"/>
    </row>
    <row r="39" spans="1:24" ht="15.75" customHeight="1">
      <c r="A39" s="221"/>
      <c r="B39" s="75"/>
      <c r="C39" s="75" t="s">
        <v>615</v>
      </c>
      <c r="D39" s="75"/>
      <c r="E39" s="75"/>
      <c r="F39" s="75"/>
      <c r="G39" s="75" t="s">
        <v>616</v>
      </c>
      <c r="H39" s="75"/>
      <c r="I39" s="75"/>
      <c r="J39" s="75"/>
      <c r="K39" s="75"/>
      <c r="L39" s="75"/>
      <c r="M39" s="222"/>
      <c r="N39" s="228"/>
      <c r="O39" s="229"/>
      <c r="P39" s="229"/>
      <c r="Q39" s="230">
        <v>364971</v>
      </c>
      <c r="R39" s="229"/>
      <c r="S39" s="230">
        <v>364971</v>
      </c>
      <c r="T39" s="230"/>
      <c r="U39" s="230"/>
      <c r="V39" s="229"/>
      <c r="W39" s="229"/>
      <c r="X39" s="6"/>
    </row>
    <row r="40" spans="1:24" ht="15.75" customHeight="1">
      <c r="A40" s="221"/>
      <c r="B40" s="75"/>
      <c r="C40" s="75"/>
      <c r="D40" s="75" t="s">
        <v>617</v>
      </c>
      <c r="E40" s="75"/>
      <c r="F40" s="75"/>
      <c r="G40" s="75"/>
      <c r="H40" s="75"/>
      <c r="I40" s="75" t="s">
        <v>618</v>
      </c>
      <c r="J40" s="75"/>
      <c r="K40" s="75"/>
      <c r="L40" s="75"/>
      <c r="M40" s="222"/>
      <c r="N40" s="228"/>
      <c r="O40" s="229"/>
      <c r="P40" s="229"/>
      <c r="Q40" s="230">
        <v>156476</v>
      </c>
      <c r="R40" s="229"/>
      <c r="S40" s="230">
        <v>156476</v>
      </c>
      <c r="T40" s="230"/>
      <c r="U40" s="230"/>
      <c r="V40" s="229"/>
      <c r="W40" s="229"/>
      <c r="X40" s="6"/>
    </row>
    <row r="41" spans="1:24" ht="15.75" customHeight="1">
      <c r="A41" s="221"/>
      <c r="B41" s="75"/>
      <c r="C41" s="75"/>
      <c r="D41" s="75" t="s">
        <v>619</v>
      </c>
      <c r="E41" s="75"/>
      <c r="F41" s="75"/>
      <c r="G41" s="75"/>
      <c r="H41" s="75"/>
      <c r="I41" s="75" t="s">
        <v>620</v>
      </c>
      <c r="J41" s="75"/>
      <c r="K41" s="75"/>
      <c r="L41" s="75"/>
      <c r="M41" s="222"/>
      <c r="N41" s="228"/>
      <c r="O41" s="229"/>
      <c r="P41" s="229"/>
      <c r="Q41" s="230">
        <v>71980</v>
      </c>
      <c r="R41" s="229"/>
      <c r="S41" s="230">
        <v>71980</v>
      </c>
      <c r="T41" s="230"/>
      <c r="U41" s="230"/>
      <c r="V41" s="229"/>
      <c r="W41" s="229"/>
      <c r="X41" s="6"/>
    </row>
    <row r="42" spans="1:24" ht="15.75" customHeight="1">
      <c r="A42" s="221"/>
      <c r="B42" s="75"/>
      <c r="C42" s="75"/>
      <c r="D42" s="75" t="s">
        <v>621</v>
      </c>
      <c r="E42" s="75"/>
      <c r="F42" s="75"/>
      <c r="G42" s="75"/>
      <c r="H42" s="75"/>
      <c r="I42" s="75" t="s">
        <v>622</v>
      </c>
      <c r="J42" s="75"/>
      <c r="K42" s="75"/>
      <c r="L42" s="75"/>
      <c r="M42" s="222"/>
      <c r="N42" s="228"/>
      <c r="O42" s="229"/>
      <c r="P42" s="229"/>
      <c r="Q42" s="230">
        <v>6000</v>
      </c>
      <c r="R42" s="229"/>
      <c r="S42" s="230">
        <v>6000</v>
      </c>
      <c r="T42" s="230"/>
      <c r="U42" s="230"/>
      <c r="V42" s="229"/>
      <c r="W42" s="229"/>
      <c r="X42" s="6"/>
    </row>
    <row r="43" spans="1:24" ht="15.75" customHeight="1">
      <c r="A43" s="221"/>
      <c r="B43" s="75"/>
      <c r="C43" s="75"/>
      <c r="D43" s="75" t="s">
        <v>623</v>
      </c>
      <c r="E43" s="75"/>
      <c r="F43" s="75"/>
      <c r="G43" s="75"/>
      <c r="H43" s="75"/>
      <c r="I43" s="75" t="s">
        <v>624</v>
      </c>
      <c r="J43" s="75"/>
      <c r="K43" s="75"/>
      <c r="L43" s="75"/>
      <c r="M43" s="222"/>
      <c r="N43" s="228"/>
      <c r="O43" s="229"/>
      <c r="P43" s="229"/>
      <c r="Q43" s="230">
        <v>130515</v>
      </c>
      <c r="R43" s="229"/>
      <c r="S43" s="230">
        <v>130515</v>
      </c>
      <c r="T43" s="230"/>
      <c r="U43" s="230"/>
      <c r="V43" s="229"/>
      <c r="W43" s="229"/>
      <c r="X43" s="6"/>
    </row>
    <row r="44" spans="1:24" ht="15.75" customHeight="1">
      <c r="A44" s="221"/>
      <c r="B44" s="75"/>
      <c r="C44" s="75" t="s">
        <v>625</v>
      </c>
      <c r="D44" s="75"/>
      <c r="E44" s="75"/>
      <c r="F44" s="75"/>
      <c r="G44" s="75" t="s">
        <v>626</v>
      </c>
      <c r="H44" s="75"/>
      <c r="I44" s="75"/>
      <c r="J44" s="75"/>
      <c r="K44" s="75"/>
      <c r="L44" s="75"/>
      <c r="M44" s="222"/>
      <c r="N44" s="228"/>
      <c r="O44" s="229"/>
      <c r="P44" s="229"/>
      <c r="Q44" s="230">
        <v>889625</v>
      </c>
      <c r="R44" s="229"/>
      <c r="S44" s="230">
        <v>889625</v>
      </c>
      <c r="T44" s="230"/>
      <c r="U44" s="230"/>
      <c r="V44" s="229"/>
      <c r="W44" s="229"/>
      <c r="X44" s="6"/>
    </row>
    <row r="45" spans="1:24" ht="15.75" customHeight="1">
      <c r="A45" s="221"/>
      <c r="B45" s="75"/>
      <c r="C45" s="75"/>
      <c r="D45" s="75" t="s">
        <v>627</v>
      </c>
      <c r="E45" s="75"/>
      <c r="F45" s="75"/>
      <c r="G45" s="75"/>
      <c r="H45" s="75"/>
      <c r="I45" s="75" t="s">
        <v>628</v>
      </c>
      <c r="J45" s="75"/>
      <c r="K45" s="75"/>
      <c r="L45" s="75"/>
      <c r="M45" s="222"/>
      <c r="N45" s="228"/>
      <c r="O45" s="229"/>
      <c r="P45" s="229"/>
      <c r="Q45" s="230">
        <v>870</v>
      </c>
      <c r="R45" s="229"/>
      <c r="S45" s="230">
        <v>870</v>
      </c>
      <c r="T45" s="230"/>
      <c r="U45" s="230"/>
      <c r="V45" s="229"/>
      <c r="W45" s="229"/>
      <c r="X45" s="6"/>
    </row>
    <row r="46" spans="1:24" ht="15.75" customHeight="1">
      <c r="A46" s="221"/>
      <c r="B46" s="75"/>
      <c r="C46" s="75"/>
      <c r="D46" s="75" t="s">
        <v>629</v>
      </c>
      <c r="E46" s="75"/>
      <c r="F46" s="75"/>
      <c r="G46" s="75"/>
      <c r="H46" s="75"/>
      <c r="I46" s="75" t="s">
        <v>630</v>
      </c>
      <c r="J46" s="75"/>
      <c r="K46" s="75"/>
      <c r="L46" s="75"/>
      <c r="M46" s="222"/>
      <c r="N46" s="228"/>
      <c r="O46" s="229"/>
      <c r="P46" s="229"/>
      <c r="Q46" s="230">
        <v>773455</v>
      </c>
      <c r="R46" s="229"/>
      <c r="S46" s="230">
        <v>773455</v>
      </c>
      <c r="T46" s="230"/>
      <c r="U46" s="230"/>
      <c r="V46" s="229"/>
      <c r="W46" s="229"/>
      <c r="X46" s="6"/>
    </row>
    <row r="47" spans="1:24" ht="15.75" customHeight="1">
      <c r="A47" s="221"/>
      <c r="B47" s="75"/>
      <c r="C47" s="75"/>
      <c r="D47" s="75" t="s">
        <v>631</v>
      </c>
      <c r="E47" s="75"/>
      <c r="F47" s="75"/>
      <c r="G47" s="75"/>
      <c r="H47" s="75"/>
      <c r="I47" s="75" t="s">
        <v>632</v>
      </c>
      <c r="J47" s="75"/>
      <c r="K47" s="75"/>
      <c r="L47" s="75"/>
      <c r="M47" s="222"/>
      <c r="N47" s="228"/>
      <c r="O47" s="229"/>
      <c r="P47" s="229"/>
      <c r="Q47" s="230">
        <v>115300</v>
      </c>
      <c r="R47" s="229"/>
      <c r="S47" s="230">
        <v>115300</v>
      </c>
      <c r="T47" s="230"/>
      <c r="U47" s="230"/>
      <c r="V47" s="229"/>
      <c r="W47" s="229"/>
      <c r="X47" s="6"/>
    </row>
    <row r="48" spans="1:24" ht="15.75" customHeight="1">
      <c r="A48" s="221"/>
      <c r="B48" s="75"/>
      <c r="C48" s="75" t="s">
        <v>551</v>
      </c>
      <c r="D48" s="75"/>
      <c r="E48" s="75"/>
      <c r="F48" s="75"/>
      <c r="G48" s="75" t="s">
        <v>633</v>
      </c>
      <c r="H48" s="75"/>
      <c r="I48" s="75"/>
      <c r="J48" s="75"/>
      <c r="K48" s="75"/>
      <c r="L48" s="75"/>
      <c r="M48" s="222"/>
      <c r="N48" s="228"/>
      <c r="O48" s="229"/>
      <c r="P48" s="229"/>
      <c r="Q48" s="230">
        <v>206394</v>
      </c>
      <c r="R48" s="229"/>
      <c r="S48" s="230">
        <v>206394</v>
      </c>
      <c r="T48" s="230"/>
      <c r="U48" s="230"/>
      <c r="V48" s="229"/>
      <c r="W48" s="229"/>
      <c r="X48" s="6"/>
    </row>
    <row r="49" spans="1:24" ht="15.75" customHeight="1">
      <c r="A49" s="221"/>
      <c r="B49" s="75"/>
      <c r="C49" s="75"/>
      <c r="D49" s="75" t="s">
        <v>634</v>
      </c>
      <c r="E49" s="75"/>
      <c r="F49" s="75"/>
      <c r="G49" s="75"/>
      <c r="H49" s="75"/>
      <c r="I49" s="75" t="s">
        <v>635</v>
      </c>
      <c r="J49" s="75"/>
      <c r="K49" s="75"/>
      <c r="L49" s="75"/>
      <c r="M49" s="222"/>
      <c r="N49" s="228"/>
      <c r="O49" s="229"/>
      <c r="P49" s="229"/>
      <c r="Q49" s="230">
        <v>36205</v>
      </c>
      <c r="R49" s="229"/>
      <c r="S49" s="230">
        <v>36205</v>
      </c>
      <c r="T49" s="230"/>
      <c r="U49" s="230"/>
      <c r="V49" s="229"/>
      <c r="W49" s="229"/>
      <c r="X49" s="6"/>
    </row>
    <row r="50" spans="1:24" ht="15.75" customHeight="1">
      <c r="A50" s="221"/>
      <c r="B50" s="75"/>
      <c r="C50" s="75"/>
      <c r="D50" s="75" t="s">
        <v>636</v>
      </c>
      <c r="E50" s="75"/>
      <c r="F50" s="75"/>
      <c r="G50" s="75"/>
      <c r="H50" s="75"/>
      <c r="I50" s="75" t="s">
        <v>637</v>
      </c>
      <c r="J50" s="75"/>
      <c r="K50" s="75"/>
      <c r="L50" s="75"/>
      <c r="M50" s="222"/>
      <c r="N50" s="228"/>
      <c r="O50" s="229"/>
      <c r="P50" s="229"/>
      <c r="Q50" s="230">
        <v>18200</v>
      </c>
      <c r="R50" s="229"/>
      <c r="S50" s="230">
        <v>18200</v>
      </c>
      <c r="T50" s="230"/>
      <c r="U50" s="230"/>
      <c r="V50" s="229"/>
      <c r="W50" s="229"/>
      <c r="X50" s="6"/>
    </row>
    <row r="51" spans="1:24" ht="15.75" customHeight="1">
      <c r="A51" s="221"/>
      <c r="B51" s="75"/>
      <c r="C51" s="75"/>
      <c r="D51" s="75" t="s">
        <v>638</v>
      </c>
      <c r="E51" s="75"/>
      <c r="F51" s="75"/>
      <c r="G51" s="75"/>
      <c r="H51" s="75"/>
      <c r="I51" s="75" t="s">
        <v>639</v>
      </c>
      <c r="J51" s="75"/>
      <c r="K51" s="75"/>
      <c r="L51" s="75"/>
      <c r="M51" s="222"/>
      <c r="N51" s="228"/>
      <c r="O51" s="229"/>
      <c r="P51" s="229"/>
      <c r="Q51" s="230">
        <v>61947</v>
      </c>
      <c r="R51" s="229"/>
      <c r="S51" s="230">
        <v>61947</v>
      </c>
      <c r="T51" s="230"/>
      <c r="U51" s="230"/>
      <c r="V51" s="229"/>
      <c r="W51" s="229"/>
      <c r="X51" s="6"/>
    </row>
    <row r="52" spans="1:24" ht="15.75" customHeight="1">
      <c r="A52" s="221"/>
      <c r="B52" s="75"/>
      <c r="C52" s="75"/>
      <c r="D52" s="75" t="s">
        <v>640</v>
      </c>
      <c r="E52" s="75"/>
      <c r="F52" s="75"/>
      <c r="G52" s="75"/>
      <c r="H52" s="75"/>
      <c r="I52" s="75" t="s">
        <v>641</v>
      </c>
      <c r="J52" s="75"/>
      <c r="K52" s="75"/>
      <c r="L52" s="75"/>
      <c r="M52" s="222"/>
      <c r="N52" s="228"/>
      <c r="O52" s="229"/>
      <c r="P52" s="229"/>
      <c r="Q52" s="230">
        <v>29450</v>
      </c>
      <c r="R52" s="229"/>
      <c r="S52" s="230">
        <v>29450</v>
      </c>
      <c r="T52" s="230"/>
      <c r="U52" s="230"/>
      <c r="V52" s="229"/>
      <c r="W52" s="229"/>
      <c r="X52" s="6"/>
    </row>
    <row r="53" spans="1:24" ht="15.75" customHeight="1">
      <c r="A53" s="221"/>
      <c r="B53" s="75"/>
      <c r="C53" s="75"/>
      <c r="D53" s="75" t="s">
        <v>642</v>
      </c>
      <c r="E53" s="75"/>
      <c r="F53" s="75"/>
      <c r="G53" s="75"/>
      <c r="H53" s="75"/>
      <c r="I53" s="75" t="s">
        <v>643</v>
      </c>
      <c r="J53" s="75"/>
      <c r="K53" s="75"/>
      <c r="L53" s="75"/>
      <c r="M53" s="222"/>
      <c r="N53" s="228"/>
      <c r="O53" s="230"/>
      <c r="P53" s="229"/>
      <c r="Q53" s="230">
        <v>60592</v>
      </c>
      <c r="R53" s="229"/>
      <c r="S53" s="230">
        <v>60592</v>
      </c>
      <c r="T53" s="230"/>
      <c r="U53" s="230"/>
      <c r="V53" s="229"/>
      <c r="W53" s="230"/>
      <c r="X53" s="6"/>
    </row>
    <row r="54" spans="1:24" ht="15.75" customHeight="1">
      <c r="A54" s="221"/>
      <c r="B54" s="75"/>
      <c r="C54" s="75" t="s">
        <v>644</v>
      </c>
      <c r="D54" s="75"/>
      <c r="E54" s="75"/>
      <c r="F54" s="75"/>
      <c r="G54" s="75" t="s">
        <v>645</v>
      </c>
      <c r="H54" s="75"/>
      <c r="I54" s="75"/>
      <c r="J54" s="75"/>
      <c r="K54" s="75"/>
      <c r="L54" s="75"/>
      <c r="M54" s="222"/>
      <c r="N54" s="228"/>
      <c r="O54" s="229"/>
      <c r="P54" s="229"/>
      <c r="Q54" s="230">
        <v>37695</v>
      </c>
      <c r="R54" s="229"/>
      <c r="S54" s="230">
        <v>37695</v>
      </c>
      <c r="T54" s="230"/>
      <c r="U54" s="230"/>
      <c r="V54" s="229"/>
      <c r="W54" s="229"/>
      <c r="X54" s="6"/>
    </row>
    <row r="55" spans="1:24" ht="15.75" customHeight="1">
      <c r="A55" s="221"/>
      <c r="B55" s="75"/>
      <c r="C55" s="75"/>
      <c r="D55" s="75" t="s">
        <v>646</v>
      </c>
      <c r="E55" s="75"/>
      <c r="F55" s="75"/>
      <c r="G55" s="75"/>
      <c r="H55" s="75"/>
      <c r="I55" s="75" t="s">
        <v>645</v>
      </c>
      <c r="J55" s="75"/>
      <c r="K55" s="75"/>
      <c r="L55" s="75"/>
      <c r="M55" s="222"/>
      <c r="N55" s="228"/>
      <c r="O55" s="229"/>
      <c r="P55" s="229"/>
      <c r="Q55" s="230">
        <v>37695</v>
      </c>
      <c r="R55" s="229"/>
      <c r="S55" s="230">
        <v>37695</v>
      </c>
      <c r="T55" s="230"/>
      <c r="U55" s="230"/>
      <c r="V55" s="229"/>
      <c r="W55" s="229"/>
      <c r="X55" s="6"/>
    </row>
    <row r="56" spans="1:24" ht="15.75" customHeight="1">
      <c r="A56" s="221"/>
      <c r="B56" s="75" t="s">
        <v>555</v>
      </c>
      <c r="C56" s="75"/>
      <c r="D56" s="75"/>
      <c r="E56" s="75"/>
      <c r="F56" s="75" t="s">
        <v>647</v>
      </c>
      <c r="G56" s="75"/>
      <c r="H56" s="75"/>
      <c r="I56" s="75"/>
      <c r="J56" s="75"/>
      <c r="K56" s="75"/>
      <c r="L56" s="75"/>
      <c r="M56" s="222"/>
      <c r="N56" s="228"/>
      <c r="O56" s="229">
        <v>692000</v>
      </c>
      <c r="P56" s="229"/>
      <c r="Q56" s="230">
        <v>333652</v>
      </c>
      <c r="R56" s="229"/>
      <c r="S56" s="230">
        <v>-358348</v>
      </c>
      <c r="T56" s="230"/>
      <c r="U56" s="230"/>
      <c r="V56" s="229"/>
      <c r="W56" s="229" t="s">
        <v>648</v>
      </c>
      <c r="X56" s="6"/>
    </row>
    <row r="57" spans="1:24" ht="15.75" customHeight="1">
      <c r="A57" s="221"/>
      <c r="B57" s="75"/>
      <c r="C57" s="75" t="s">
        <v>649</v>
      </c>
      <c r="D57" s="75"/>
      <c r="E57" s="75"/>
      <c r="F57" s="75"/>
      <c r="G57" s="75" t="s">
        <v>650</v>
      </c>
      <c r="H57" s="75"/>
      <c r="I57" s="75"/>
      <c r="J57" s="75"/>
      <c r="K57" s="75"/>
      <c r="L57" s="75"/>
      <c r="M57" s="222"/>
      <c r="N57" s="228"/>
      <c r="O57" s="229"/>
      <c r="P57" s="229"/>
      <c r="Q57" s="230">
        <v>333652</v>
      </c>
      <c r="R57" s="229"/>
      <c r="S57" s="230">
        <v>333652</v>
      </c>
      <c r="T57" s="230"/>
      <c r="U57" s="230"/>
      <c r="V57" s="229"/>
      <c r="W57" s="229"/>
      <c r="X57" s="6"/>
    </row>
    <row r="58" spans="1:24" ht="15.75" customHeight="1">
      <c r="A58" s="221"/>
      <c r="B58" s="75"/>
      <c r="C58" s="75"/>
      <c r="D58" s="75" t="s">
        <v>651</v>
      </c>
      <c r="E58" s="75"/>
      <c r="F58" s="75"/>
      <c r="G58" s="75"/>
      <c r="H58" s="75"/>
      <c r="I58" s="75" t="s">
        <v>652</v>
      </c>
      <c r="J58" s="75"/>
      <c r="K58" s="75"/>
      <c r="L58" s="75"/>
      <c r="M58" s="222"/>
      <c r="N58" s="228"/>
      <c r="O58" s="229"/>
      <c r="P58" s="229"/>
      <c r="Q58" s="230">
        <v>126694</v>
      </c>
      <c r="R58" s="229"/>
      <c r="S58" s="230">
        <v>126694</v>
      </c>
      <c r="T58" s="230"/>
      <c r="U58" s="230"/>
      <c r="V58" s="229"/>
      <c r="W58" s="229"/>
      <c r="X58" s="6"/>
    </row>
    <row r="59" spans="1:24" ht="15.75" customHeight="1">
      <c r="A59" s="221"/>
      <c r="B59" s="75"/>
      <c r="C59" s="75"/>
      <c r="D59" s="75" t="s">
        <v>653</v>
      </c>
      <c r="E59" s="75"/>
      <c r="F59" s="75"/>
      <c r="G59" s="75"/>
      <c r="H59" s="75"/>
      <c r="I59" s="75" t="s">
        <v>654</v>
      </c>
      <c r="J59" s="75"/>
      <c r="K59" s="75"/>
      <c r="L59" s="75"/>
      <c r="M59" s="222"/>
      <c r="N59" s="228"/>
      <c r="O59" s="229"/>
      <c r="P59" s="229"/>
      <c r="Q59" s="230">
        <v>10200</v>
      </c>
      <c r="R59" s="229"/>
      <c r="S59" s="230">
        <v>10200</v>
      </c>
      <c r="T59" s="230"/>
      <c r="U59" s="230"/>
      <c r="V59" s="229"/>
      <c r="W59" s="229"/>
      <c r="X59" s="6"/>
    </row>
    <row r="60" spans="1:24" ht="15.75" customHeight="1">
      <c r="A60" s="221"/>
      <c r="B60" s="75"/>
      <c r="C60" s="75"/>
      <c r="D60" s="75" t="s">
        <v>655</v>
      </c>
      <c r="E60" s="75"/>
      <c r="F60" s="75"/>
      <c r="G60" s="75"/>
      <c r="H60" s="75"/>
      <c r="I60" s="75" t="s">
        <v>656</v>
      </c>
      <c r="J60" s="75"/>
      <c r="K60" s="75"/>
      <c r="L60" s="75"/>
      <c r="M60" s="222"/>
      <c r="N60" s="228"/>
      <c r="O60" s="229"/>
      <c r="P60" s="229"/>
      <c r="Q60" s="230">
        <v>31211</v>
      </c>
      <c r="R60" s="229"/>
      <c r="S60" s="230">
        <v>31211</v>
      </c>
      <c r="T60" s="230"/>
      <c r="U60" s="230"/>
      <c r="V60" s="229"/>
      <c r="W60" s="229"/>
      <c r="X60" s="6"/>
    </row>
    <row r="61" spans="1:24" ht="15.75" customHeight="1">
      <c r="A61" s="223"/>
      <c r="B61" s="76"/>
      <c r="C61" s="76"/>
      <c r="D61" s="76" t="s">
        <v>657</v>
      </c>
      <c r="E61" s="76"/>
      <c r="F61" s="76"/>
      <c r="G61" s="76"/>
      <c r="H61" s="76"/>
      <c r="I61" s="76" t="s">
        <v>658</v>
      </c>
      <c r="J61" s="76"/>
      <c r="K61" s="76"/>
      <c r="L61" s="76"/>
      <c r="M61" s="224"/>
      <c r="N61" s="231"/>
      <c r="O61" s="232"/>
      <c r="P61" s="232"/>
      <c r="Q61" s="233">
        <v>6172</v>
      </c>
      <c r="R61" s="232"/>
      <c r="S61" s="233">
        <v>6172</v>
      </c>
      <c r="T61" s="233"/>
      <c r="U61" s="233"/>
      <c r="V61" s="232"/>
      <c r="W61" s="232"/>
      <c r="X61" s="6"/>
    </row>
    <row r="62" spans="1:24" ht="15.75" customHeight="1">
      <c r="A62" s="219"/>
      <c r="B62" s="74"/>
      <c r="C62" s="74"/>
      <c r="D62" s="74" t="s">
        <v>659</v>
      </c>
      <c r="E62" s="74"/>
      <c r="F62" s="74"/>
      <c r="G62" s="74"/>
      <c r="H62" s="74"/>
      <c r="I62" s="74" t="s">
        <v>660</v>
      </c>
      <c r="J62" s="74"/>
      <c r="K62" s="74"/>
      <c r="L62" s="74"/>
      <c r="M62" s="220"/>
      <c r="N62" s="225"/>
      <c r="O62" s="226"/>
      <c r="P62" s="227"/>
      <c r="Q62" s="227">
        <v>159375</v>
      </c>
      <c r="R62" s="227"/>
      <c r="S62" s="226">
        <v>159375</v>
      </c>
      <c r="T62" s="226"/>
      <c r="U62" s="226"/>
      <c r="V62" s="227"/>
      <c r="W62" s="226"/>
      <c r="X62" s="6"/>
    </row>
    <row r="63" spans="1:24" ht="15.75" customHeight="1">
      <c r="A63" s="221"/>
      <c r="B63" s="75" t="s">
        <v>661</v>
      </c>
      <c r="C63" s="75"/>
      <c r="D63" s="75"/>
      <c r="E63" s="75"/>
      <c r="F63" s="75" t="s">
        <v>662</v>
      </c>
      <c r="G63" s="75"/>
      <c r="H63" s="75"/>
      <c r="I63" s="75"/>
      <c r="J63" s="75"/>
      <c r="K63" s="75"/>
      <c r="L63" s="75"/>
      <c r="M63" s="222"/>
      <c r="N63" s="228"/>
      <c r="O63" s="230">
        <v>17000</v>
      </c>
      <c r="P63" s="229"/>
      <c r="Q63" s="230">
        <v>8400</v>
      </c>
      <c r="R63" s="229"/>
      <c r="S63" s="230">
        <v>-8600</v>
      </c>
      <c r="T63" s="230"/>
      <c r="U63" s="230"/>
      <c r="V63" s="229"/>
      <c r="W63" s="230" t="s">
        <v>663</v>
      </c>
      <c r="X63" s="6"/>
    </row>
    <row r="64" spans="1:24" ht="15.75" customHeight="1">
      <c r="A64" s="221"/>
      <c r="B64" s="75"/>
      <c r="C64" s="75" t="s">
        <v>664</v>
      </c>
      <c r="D64" s="75"/>
      <c r="E64" s="75"/>
      <c r="F64" s="75"/>
      <c r="G64" s="75" t="s">
        <v>665</v>
      </c>
      <c r="H64" s="75"/>
      <c r="I64" s="75"/>
      <c r="J64" s="75"/>
      <c r="K64" s="75"/>
      <c r="L64" s="75"/>
      <c r="M64" s="222"/>
      <c r="N64" s="228"/>
      <c r="O64" s="230"/>
      <c r="P64" s="229"/>
      <c r="Q64" s="230">
        <v>8400</v>
      </c>
      <c r="R64" s="229"/>
      <c r="S64" s="230">
        <v>8400</v>
      </c>
      <c r="T64" s="230"/>
      <c r="U64" s="230"/>
      <c r="V64" s="229"/>
      <c r="W64" s="230"/>
      <c r="X64" s="6"/>
    </row>
    <row r="65" spans="1:24" ht="15.75" customHeight="1">
      <c r="A65" s="221"/>
      <c r="B65" s="75"/>
      <c r="C65" s="75"/>
      <c r="D65" s="75" t="s">
        <v>666</v>
      </c>
      <c r="E65" s="75"/>
      <c r="F65" s="75"/>
      <c r="G65" s="75"/>
      <c r="H65" s="75"/>
      <c r="I65" s="75" t="s">
        <v>665</v>
      </c>
      <c r="J65" s="75"/>
      <c r="K65" s="75"/>
      <c r="L65" s="75"/>
      <c r="M65" s="222"/>
      <c r="N65" s="228"/>
      <c r="O65" s="230"/>
      <c r="P65" s="229"/>
      <c r="Q65" s="230">
        <v>8400</v>
      </c>
      <c r="R65" s="229"/>
      <c r="S65" s="230">
        <v>8400</v>
      </c>
      <c r="T65" s="230"/>
      <c r="U65" s="230"/>
      <c r="V65" s="229"/>
      <c r="W65" s="230"/>
      <c r="X65" s="6"/>
    </row>
    <row r="66" spans="1:24" ht="15.75" customHeight="1">
      <c r="A66" s="221"/>
      <c r="B66" s="75" t="s">
        <v>667</v>
      </c>
      <c r="C66" s="75"/>
      <c r="D66" s="75"/>
      <c r="E66" s="75"/>
      <c r="F66" s="75" t="s">
        <v>668</v>
      </c>
      <c r="G66" s="75"/>
      <c r="H66" s="75"/>
      <c r="I66" s="75"/>
      <c r="J66" s="75"/>
      <c r="K66" s="75"/>
      <c r="L66" s="75"/>
      <c r="M66" s="222"/>
      <c r="N66" s="228"/>
      <c r="O66" s="230">
        <v>200000</v>
      </c>
      <c r="P66" s="229"/>
      <c r="Q66" s="230">
        <v>122000</v>
      </c>
      <c r="R66" s="229"/>
      <c r="S66" s="230">
        <v>-78000</v>
      </c>
      <c r="T66" s="230"/>
      <c r="U66" s="230"/>
      <c r="V66" s="229"/>
      <c r="W66" s="230" t="s">
        <v>669</v>
      </c>
      <c r="X66" s="6"/>
    </row>
    <row r="67" spans="1:24" ht="15.75" customHeight="1">
      <c r="A67" s="221"/>
      <c r="B67" s="75"/>
      <c r="C67" s="75" t="s">
        <v>670</v>
      </c>
      <c r="D67" s="75"/>
      <c r="E67" s="75"/>
      <c r="F67" s="75"/>
      <c r="G67" s="75" t="s">
        <v>671</v>
      </c>
      <c r="H67" s="75"/>
      <c r="I67" s="75"/>
      <c r="J67" s="75"/>
      <c r="K67" s="75"/>
      <c r="L67" s="75"/>
      <c r="M67" s="222"/>
      <c r="N67" s="228"/>
      <c r="O67" s="230">
        <v>200000</v>
      </c>
      <c r="P67" s="229"/>
      <c r="Q67" s="230">
        <v>122000</v>
      </c>
      <c r="R67" s="229"/>
      <c r="S67" s="230">
        <v>-78000</v>
      </c>
      <c r="T67" s="230"/>
      <c r="U67" s="230"/>
      <c r="V67" s="229"/>
      <c r="W67" s="230" t="s">
        <v>669</v>
      </c>
      <c r="X67" s="6"/>
    </row>
    <row r="68" spans="1:24" ht="15.75" customHeight="1">
      <c r="A68" s="221"/>
      <c r="B68" s="75"/>
      <c r="C68" s="75"/>
      <c r="D68" s="75" t="s">
        <v>672</v>
      </c>
      <c r="E68" s="75"/>
      <c r="F68" s="75"/>
      <c r="G68" s="75"/>
      <c r="H68" s="75"/>
      <c r="I68" s="75" t="s">
        <v>673</v>
      </c>
      <c r="J68" s="75"/>
      <c r="K68" s="75"/>
      <c r="L68" s="75"/>
      <c r="M68" s="222"/>
      <c r="N68" s="228"/>
      <c r="O68" s="229">
        <v>100000</v>
      </c>
      <c r="P68" s="229"/>
      <c r="Q68" s="230"/>
      <c r="R68" s="229"/>
      <c r="S68" s="230">
        <v>-100000</v>
      </c>
      <c r="T68" s="230"/>
      <c r="U68" s="230"/>
      <c r="V68" s="229"/>
      <c r="W68" s="229" t="s">
        <v>674</v>
      </c>
      <c r="X68" s="6"/>
    </row>
    <row r="69" spans="1:24" ht="15.75" customHeight="1">
      <c r="A69" s="221"/>
      <c r="B69" s="75"/>
      <c r="C69" s="75"/>
      <c r="D69" s="75" t="s">
        <v>675</v>
      </c>
      <c r="E69" s="75"/>
      <c r="F69" s="75"/>
      <c r="G69" s="75"/>
      <c r="H69" s="75"/>
      <c r="I69" s="75" t="s">
        <v>676</v>
      </c>
      <c r="J69" s="75"/>
      <c r="K69" s="75"/>
      <c r="L69" s="75"/>
      <c r="M69" s="222"/>
      <c r="N69" s="228"/>
      <c r="O69" s="229">
        <v>50000</v>
      </c>
      <c r="P69" s="229"/>
      <c r="Q69" s="230">
        <v>32000</v>
      </c>
      <c r="R69" s="229"/>
      <c r="S69" s="230">
        <v>-18000</v>
      </c>
      <c r="T69" s="230"/>
      <c r="U69" s="230"/>
      <c r="V69" s="229"/>
      <c r="W69" s="229" t="s">
        <v>677</v>
      </c>
      <c r="X69" s="6"/>
    </row>
    <row r="70" spans="1:24" ht="15.75" customHeight="1">
      <c r="A70" s="221"/>
      <c r="B70" s="75"/>
      <c r="C70" s="75"/>
      <c r="D70" s="75" t="s">
        <v>678</v>
      </c>
      <c r="E70" s="75"/>
      <c r="F70" s="75"/>
      <c r="G70" s="75"/>
      <c r="H70" s="75"/>
      <c r="I70" s="75" t="s">
        <v>679</v>
      </c>
      <c r="J70" s="75"/>
      <c r="K70" s="75"/>
      <c r="L70" s="75"/>
      <c r="M70" s="222"/>
      <c r="N70" s="228"/>
      <c r="O70" s="229">
        <v>50000</v>
      </c>
      <c r="P70" s="229"/>
      <c r="Q70" s="230">
        <v>90000</v>
      </c>
      <c r="R70" s="229"/>
      <c r="S70" s="230">
        <v>40000</v>
      </c>
      <c r="T70" s="230"/>
      <c r="U70" s="230"/>
      <c r="V70" s="229"/>
      <c r="W70" s="229" t="s">
        <v>680</v>
      </c>
      <c r="X70" s="6"/>
    </row>
    <row r="71" spans="1:24" ht="15.75" customHeight="1">
      <c r="A71" s="221"/>
      <c r="B71" s="75" t="s">
        <v>681</v>
      </c>
      <c r="C71" s="75"/>
      <c r="D71" s="75"/>
      <c r="E71" s="75"/>
      <c r="F71" s="75" t="s">
        <v>682</v>
      </c>
      <c r="G71" s="75"/>
      <c r="H71" s="75"/>
      <c r="I71" s="75"/>
      <c r="J71" s="75"/>
      <c r="K71" s="75"/>
      <c r="L71" s="75"/>
      <c r="M71" s="222"/>
      <c r="N71" s="228"/>
      <c r="O71" s="229">
        <v>88000</v>
      </c>
      <c r="P71" s="229"/>
      <c r="Q71" s="230">
        <v>71565</v>
      </c>
      <c r="R71" s="229"/>
      <c r="S71" s="230">
        <v>-16435</v>
      </c>
      <c r="T71" s="230"/>
      <c r="U71" s="230"/>
      <c r="V71" s="229"/>
      <c r="W71" s="229" t="s">
        <v>683</v>
      </c>
      <c r="X71" s="6"/>
    </row>
    <row r="72" spans="1:24" ht="15.75" customHeight="1">
      <c r="A72" s="221"/>
      <c r="B72" s="75"/>
      <c r="C72" s="75" t="s">
        <v>684</v>
      </c>
      <c r="D72" s="75"/>
      <c r="E72" s="75"/>
      <c r="F72" s="75"/>
      <c r="G72" s="75" t="s">
        <v>685</v>
      </c>
      <c r="H72" s="75"/>
      <c r="I72" s="75"/>
      <c r="J72" s="75"/>
      <c r="K72" s="75"/>
      <c r="L72" s="75"/>
      <c r="M72" s="222"/>
      <c r="N72" s="228"/>
      <c r="O72" s="229"/>
      <c r="P72" s="229"/>
      <c r="Q72" s="230">
        <v>2000</v>
      </c>
      <c r="R72" s="229"/>
      <c r="S72" s="230">
        <v>2000</v>
      </c>
      <c r="T72" s="230"/>
      <c r="U72" s="230"/>
      <c r="V72" s="229"/>
      <c r="W72" s="229"/>
      <c r="X72" s="6"/>
    </row>
    <row r="73" spans="1:24" ht="15.75" customHeight="1">
      <c r="A73" s="221"/>
      <c r="B73" s="75"/>
      <c r="C73" s="75"/>
      <c r="D73" s="75" t="s">
        <v>686</v>
      </c>
      <c r="E73" s="75"/>
      <c r="F73" s="75"/>
      <c r="G73" s="75"/>
      <c r="H73" s="75"/>
      <c r="I73" s="75" t="s">
        <v>687</v>
      </c>
      <c r="J73" s="75"/>
      <c r="K73" s="75"/>
      <c r="L73" s="75"/>
      <c r="M73" s="222"/>
      <c r="N73" s="228"/>
      <c r="O73" s="229"/>
      <c r="P73" s="229"/>
      <c r="Q73" s="230">
        <v>2000</v>
      </c>
      <c r="R73" s="229"/>
      <c r="S73" s="230">
        <v>2000</v>
      </c>
      <c r="T73" s="230"/>
      <c r="U73" s="230"/>
      <c r="V73" s="229"/>
      <c r="W73" s="229"/>
      <c r="X73" s="6"/>
    </row>
    <row r="74" spans="1:24" ht="15.75" customHeight="1">
      <c r="A74" s="221"/>
      <c r="B74" s="75"/>
      <c r="C74" s="75" t="s">
        <v>688</v>
      </c>
      <c r="D74" s="75"/>
      <c r="E74" s="75"/>
      <c r="F74" s="75"/>
      <c r="G74" s="75" t="s">
        <v>689</v>
      </c>
      <c r="H74" s="75"/>
      <c r="I74" s="75"/>
      <c r="J74" s="75"/>
      <c r="K74" s="75"/>
      <c r="L74" s="75"/>
      <c r="M74" s="222"/>
      <c r="N74" s="228"/>
      <c r="O74" s="229"/>
      <c r="P74" s="229"/>
      <c r="Q74" s="230">
        <v>32000</v>
      </c>
      <c r="R74" s="229"/>
      <c r="S74" s="230">
        <v>32000</v>
      </c>
      <c r="T74" s="230"/>
      <c r="U74" s="230"/>
      <c r="V74" s="229"/>
      <c r="W74" s="229"/>
      <c r="X74" s="6"/>
    </row>
    <row r="75" spans="1:24" ht="15.75" customHeight="1">
      <c r="A75" s="221"/>
      <c r="B75" s="75"/>
      <c r="C75" s="75"/>
      <c r="D75" s="75" t="s">
        <v>690</v>
      </c>
      <c r="E75" s="75"/>
      <c r="F75" s="75"/>
      <c r="G75" s="75"/>
      <c r="H75" s="75"/>
      <c r="I75" s="75" t="s">
        <v>691</v>
      </c>
      <c r="J75" s="75"/>
      <c r="K75" s="75"/>
      <c r="L75" s="75"/>
      <c r="M75" s="222"/>
      <c r="N75" s="228"/>
      <c r="O75" s="229"/>
      <c r="P75" s="229"/>
      <c r="Q75" s="230">
        <v>32000</v>
      </c>
      <c r="R75" s="229"/>
      <c r="S75" s="230">
        <v>32000</v>
      </c>
      <c r="T75" s="230"/>
      <c r="U75" s="230"/>
      <c r="V75" s="229"/>
      <c r="W75" s="229"/>
      <c r="X75" s="6"/>
    </row>
    <row r="76" spans="1:24" ht="15.75" customHeight="1">
      <c r="A76" s="221"/>
      <c r="B76" s="75"/>
      <c r="C76" s="75" t="s">
        <v>692</v>
      </c>
      <c r="D76" s="75"/>
      <c r="E76" s="75"/>
      <c r="F76" s="75"/>
      <c r="G76" s="75" t="s">
        <v>693</v>
      </c>
      <c r="H76" s="75"/>
      <c r="I76" s="75"/>
      <c r="J76" s="75"/>
      <c r="K76" s="75"/>
      <c r="L76" s="75"/>
      <c r="M76" s="222"/>
      <c r="N76" s="228"/>
      <c r="O76" s="229"/>
      <c r="P76" s="229"/>
      <c r="Q76" s="230">
        <v>37565</v>
      </c>
      <c r="R76" s="229"/>
      <c r="S76" s="230">
        <v>37565</v>
      </c>
      <c r="T76" s="230"/>
      <c r="U76" s="230"/>
      <c r="V76" s="229"/>
      <c r="W76" s="229"/>
      <c r="X76" s="6"/>
    </row>
    <row r="77" spans="1:24" ht="15.75" customHeight="1">
      <c r="A77" s="221"/>
      <c r="B77" s="75"/>
      <c r="C77" s="75"/>
      <c r="D77" s="75" t="s">
        <v>694</v>
      </c>
      <c r="E77" s="75"/>
      <c r="F77" s="75"/>
      <c r="G77" s="75"/>
      <c r="H77" s="75"/>
      <c r="I77" s="75" t="s">
        <v>695</v>
      </c>
      <c r="J77" s="75"/>
      <c r="K77" s="75"/>
      <c r="L77" s="75"/>
      <c r="M77" s="222"/>
      <c r="N77" s="228"/>
      <c r="O77" s="229"/>
      <c r="P77" s="229"/>
      <c r="Q77" s="230">
        <v>37565</v>
      </c>
      <c r="R77" s="229"/>
      <c r="S77" s="230">
        <v>37565</v>
      </c>
      <c r="T77" s="230"/>
      <c r="U77" s="230"/>
      <c r="V77" s="229"/>
      <c r="W77" s="229"/>
      <c r="X77" s="6"/>
    </row>
    <row r="78" spans="1:24" ht="15.75" customHeight="1">
      <c r="A78" s="221"/>
      <c r="B78" s="75" t="s">
        <v>696</v>
      </c>
      <c r="C78" s="75"/>
      <c r="D78" s="75"/>
      <c r="E78" s="75"/>
      <c r="F78" s="75" t="s">
        <v>201</v>
      </c>
      <c r="G78" s="75"/>
      <c r="H78" s="75"/>
      <c r="I78" s="75"/>
      <c r="J78" s="75"/>
      <c r="K78" s="75"/>
      <c r="L78" s="75"/>
      <c r="M78" s="222"/>
      <c r="N78" s="228"/>
      <c r="O78" s="229">
        <v>141000</v>
      </c>
      <c r="P78" s="229"/>
      <c r="Q78" s="230">
        <v>46257</v>
      </c>
      <c r="R78" s="229"/>
      <c r="S78" s="230">
        <v>-94743</v>
      </c>
      <c r="T78" s="230"/>
      <c r="U78" s="230"/>
      <c r="V78" s="229"/>
      <c r="W78" s="229" t="s">
        <v>697</v>
      </c>
      <c r="X78" s="6"/>
    </row>
    <row r="79" spans="1:24" ht="15.75" customHeight="1">
      <c r="A79" s="221"/>
      <c r="B79" s="75"/>
      <c r="C79" s="75" t="s">
        <v>698</v>
      </c>
      <c r="D79" s="75"/>
      <c r="E79" s="75"/>
      <c r="F79" s="75"/>
      <c r="G79" s="75" t="s">
        <v>699</v>
      </c>
      <c r="H79" s="75"/>
      <c r="I79" s="75"/>
      <c r="J79" s="75"/>
      <c r="K79" s="75"/>
      <c r="L79" s="75"/>
      <c r="M79" s="222"/>
      <c r="N79" s="228"/>
      <c r="O79" s="229"/>
      <c r="P79" s="229"/>
      <c r="Q79" s="230">
        <v>46257</v>
      </c>
      <c r="R79" s="229"/>
      <c r="S79" s="230">
        <v>46257</v>
      </c>
      <c r="T79" s="230"/>
      <c r="U79" s="230"/>
      <c r="V79" s="229"/>
      <c r="W79" s="229"/>
      <c r="X79" s="6"/>
    </row>
    <row r="80" spans="1:24" ht="15.75" customHeight="1">
      <c r="A80" s="221"/>
      <c r="B80" s="75"/>
      <c r="C80" s="75"/>
      <c r="D80" s="75" t="s">
        <v>700</v>
      </c>
      <c r="E80" s="75"/>
      <c r="F80" s="75"/>
      <c r="G80" s="75"/>
      <c r="H80" s="75"/>
      <c r="I80" s="75" t="s">
        <v>201</v>
      </c>
      <c r="J80" s="75"/>
      <c r="K80" s="75"/>
      <c r="L80" s="75"/>
      <c r="M80" s="222"/>
      <c r="N80" s="228"/>
      <c r="O80" s="229"/>
      <c r="P80" s="229"/>
      <c r="Q80" s="230">
        <v>46257</v>
      </c>
      <c r="R80" s="229"/>
      <c r="S80" s="230">
        <v>46257</v>
      </c>
      <c r="T80" s="230"/>
      <c r="U80" s="230"/>
      <c r="V80" s="229"/>
      <c r="W80" s="229"/>
      <c r="X80" s="6"/>
    </row>
    <row r="81" spans="1:24" ht="15.75" customHeight="1">
      <c r="A81" s="221"/>
      <c r="B81" s="75"/>
      <c r="C81" s="75"/>
      <c r="D81" s="75" t="s">
        <v>701</v>
      </c>
      <c r="E81" s="75"/>
      <c r="F81" s="75"/>
      <c r="G81" s="75"/>
      <c r="H81" s="75"/>
      <c r="I81" s="75"/>
      <c r="J81" s="75"/>
      <c r="K81" s="75"/>
      <c r="L81" s="75"/>
      <c r="M81" s="222"/>
      <c r="N81" s="228"/>
      <c r="O81" s="229">
        <v>138421000</v>
      </c>
      <c r="P81" s="229"/>
      <c r="Q81" s="230">
        <v>117794097</v>
      </c>
      <c r="R81" s="229"/>
      <c r="S81" s="230">
        <v>-20626903</v>
      </c>
      <c r="T81" s="230"/>
      <c r="U81" s="230"/>
      <c r="V81" s="229"/>
      <c r="W81" s="229" t="s">
        <v>702</v>
      </c>
      <c r="X81" s="6"/>
    </row>
    <row r="82" spans="1:24" ht="15.75" customHeight="1">
      <c r="A82" s="221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2"/>
      <c r="N82" s="228"/>
      <c r="O82" s="229"/>
      <c r="P82" s="229"/>
      <c r="Q82" s="230"/>
      <c r="R82" s="229"/>
      <c r="S82" s="230"/>
      <c r="T82" s="230"/>
      <c r="U82" s="230"/>
      <c r="V82" s="229"/>
      <c r="W82" s="229"/>
      <c r="X82" s="6"/>
    </row>
    <row r="83" spans="1:24" ht="15.75" customHeight="1">
      <c r="A83" s="221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2"/>
      <c r="N83" s="228"/>
      <c r="O83" s="230"/>
      <c r="P83" s="229"/>
      <c r="Q83" s="230"/>
      <c r="R83" s="229"/>
      <c r="S83" s="230"/>
      <c r="T83" s="230"/>
      <c r="U83" s="230"/>
      <c r="V83" s="229"/>
      <c r="W83" s="230"/>
      <c r="X83" s="6"/>
    </row>
    <row r="84" spans="1:24" ht="15.75" customHeight="1">
      <c r="A84" s="221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2"/>
      <c r="N84" s="228"/>
      <c r="O84" s="229"/>
      <c r="P84" s="229"/>
      <c r="Q84" s="230"/>
      <c r="R84" s="229"/>
      <c r="S84" s="230"/>
      <c r="T84" s="230"/>
      <c r="U84" s="230"/>
      <c r="V84" s="229"/>
      <c r="W84" s="229"/>
      <c r="X84" s="6"/>
    </row>
    <row r="85" spans="1:24" ht="15.75" customHeight="1">
      <c r="A85" s="221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2"/>
      <c r="N85" s="228"/>
      <c r="O85" s="229"/>
      <c r="P85" s="229"/>
      <c r="Q85" s="230"/>
      <c r="R85" s="229"/>
      <c r="S85" s="230"/>
      <c r="T85" s="230"/>
      <c r="U85" s="230"/>
      <c r="V85" s="229"/>
      <c r="W85" s="229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4"/>
      <c r="N86" s="231"/>
      <c r="O86" s="233"/>
      <c r="P86" s="232"/>
      <c r="Q86" s="233"/>
      <c r="R86" s="232"/>
      <c r="S86" s="233"/>
      <c r="T86" s="233"/>
      <c r="U86" s="233"/>
      <c r="V86" s="232"/>
      <c r="W86" s="233"/>
      <c r="X86" s="6"/>
    </row>
    <row r="87" spans="1:24" ht="26.25" customHeight="1">
      <c r="B87" s="206"/>
      <c r="C87" s="206"/>
      <c r="D87" s="206"/>
      <c r="E87" s="206"/>
      <c r="F87" s="206"/>
      <c r="G87" s="206"/>
      <c r="H87" s="206"/>
      <c r="I87" s="206"/>
      <c r="J87" s="206"/>
      <c r="K87" s="206"/>
      <c r="L87" s="206"/>
      <c r="M87" s="206"/>
      <c r="N87" s="206"/>
      <c r="O87" s="206"/>
      <c r="P87" s="206"/>
      <c r="Q87" s="206"/>
      <c r="R87" s="206"/>
      <c r="S87" s="206"/>
      <c r="T87" s="206"/>
      <c r="U87" s="206"/>
      <c r="V87" s="206"/>
      <c r="W87" s="206"/>
    </row>
    <row r="88" spans="1:24" ht="30" customHeight="1">
      <c r="B88" s="206"/>
      <c r="C88" s="206"/>
      <c r="D88" s="206"/>
      <c r="E88" s="206"/>
      <c r="F88" s="206"/>
      <c r="G88" s="206"/>
      <c r="H88" s="206"/>
      <c r="I88" s="206"/>
      <c r="J88" s="206"/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</row>
    <row r="89" spans="1:24" ht="12.75" customHeight="1">
      <c r="B89" s="206"/>
      <c r="C89" s="206"/>
      <c r="D89" s="206"/>
      <c r="E89" s="206"/>
      <c r="F89" s="206"/>
      <c r="G89" s="206"/>
      <c r="H89" s="206"/>
      <c r="I89" s="206"/>
      <c r="J89" s="206"/>
      <c r="K89" s="206"/>
      <c r="L89" s="206"/>
      <c r="M89" s="206"/>
      <c r="N89" s="206"/>
      <c r="O89" s="206"/>
      <c r="P89" s="206"/>
      <c r="Q89" s="206"/>
      <c r="R89" s="206"/>
      <c r="S89" s="206"/>
      <c r="T89" s="206"/>
      <c r="U89" s="206"/>
      <c r="V89" s="206"/>
      <c r="W89" s="206"/>
    </row>
    <row r="90" spans="1:24" ht="12.75" customHeight="1">
      <c r="B90" s="206"/>
      <c r="C90" s="206"/>
      <c r="D90" s="206"/>
      <c r="E90" s="206"/>
      <c r="F90" s="206"/>
      <c r="G90" s="206"/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</row>
    <row r="91" spans="1:24" ht="12.75" customHeight="1">
      <c r="B91" s="206"/>
      <c r="C91" s="206"/>
      <c r="D91" s="206"/>
      <c r="E91" s="206"/>
      <c r="F91" s="206"/>
      <c r="G91" s="206"/>
      <c r="H91" s="206"/>
      <c r="I91" s="206"/>
      <c r="J91" s="206"/>
      <c r="K91" s="206"/>
      <c r="L91" s="206"/>
      <c r="M91" s="206"/>
      <c r="N91" s="206"/>
      <c r="O91" s="206"/>
      <c r="P91" s="206"/>
      <c r="Q91" s="206"/>
      <c r="R91" s="206"/>
      <c r="S91" s="206"/>
      <c r="T91" s="206"/>
      <c r="U91" s="206"/>
      <c r="V91" s="206"/>
      <c r="W91" s="206"/>
    </row>
    <row r="92" spans="1:24" ht="12.75" customHeight="1">
      <c r="B92" s="206"/>
      <c r="C92" s="206"/>
      <c r="D92" s="206"/>
      <c r="E92" s="206"/>
      <c r="F92" s="206"/>
      <c r="G92" s="206"/>
      <c r="H92" s="206"/>
      <c r="I92" s="206"/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</row>
    <row r="93" spans="1:24" ht="12.75" customHeight="1">
      <c r="B93" s="206"/>
      <c r="C93" s="206"/>
      <c r="D93" s="206"/>
      <c r="E93" s="206"/>
      <c r="F93" s="206"/>
      <c r="G93" s="206"/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</row>
    <row r="94" spans="1:24" ht="12.75" customHeight="1">
      <c r="B94" s="206"/>
      <c r="C94" s="206"/>
      <c r="D94" s="206"/>
      <c r="E94" s="206"/>
      <c r="F94" s="206"/>
      <c r="G94" s="206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</row>
    <row r="95" spans="1:24" ht="12.75" customHeight="1">
      <c r="B95" s="206"/>
      <c r="C95" s="206"/>
      <c r="D95" s="206"/>
      <c r="E95" s="206"/>
      <c r="F95" s="206"/>
      <c r="G95" s="206"/>
      <c r="H95" s="206"/>
      <c r="I95" s="206"/>
      <c r="J95" s="206"/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</row>
    <row r="96" spans="1:24" ht="12.75" customHeight="1"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</row>
    <row r="97" spans="2:23" ht="12.75" customHeight="1">
      <c r="B97" s="206"/>
      <c r="C97" s="206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</row>
    <row r="98" spans="2:23" ht="12.75" customHeight="1">
      <c r="B98" s="206"/>
      <c r="C98" s="206"/>
      <c r="D98" s="206"/>
      <c r="E98" s="206"/>
      <c r="F98" s="206"/>
      <c r="G98" s="206"/>
      <c r="H98" s="206"/>
      <c r="I98" s="206"/>
      <c r="J98" s="206"/>
      <c r="K98" s="206"/>
      <c r="L98" s="206"/>
      <c r="M98" s="206"/>
      <c r="N98" s="206"/>
      <c r="O98" s="206"/>
      <c r="P98" s="206"/>
      <c r="Q98" s="206"/>
      <c r="R98" s="206"/>
      <c r="S98" s="206"/>
      <c r="T98" s="206"/>
      <c r="U98" s="206"/>
      <c r="V98" s="206"/>
      <c r="W98" s="206"/>
    </row>
    <row r="99" spans="2:23" ht="12.75" customHeight="1">
      <c r="B99" s="206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</row>
    <row r="100" spans="2:23" ht="12.75" customHeight="1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  <c r="L100" s="206"/>
      <c r="M100" s="206"/>
      <c r="N100" s="206"/>
      <c r="O100" s="206"/>
      <c r="P100" s="206"/>
      <c r="Q100" s="206"/>
      <c r="R100" s="206"/>
      <c r="S100" s="206"/>
      <c r="T100" s="206"/>
      <c r="U100" s="206"/>
      <c r="V100" s="206"/>
      <c r="W100" s="206"/>
    </row>
    <row r="101" spans="2:23" ht="12.75" customHeight="1">
      <c r="B101" s="206"/>
      <c r="C101" s="206"/>
      <c r="D101" s="206"/>
      <c r="E101" s="206"/>
      <c r="F101" s="206"/>
      <c r="G101" s="206"/>
      <c r="H101" s="206"/>
      <c r="I101" s="206"/>
      <c r="J101" s="206"/>
      <c r="K101" s="206"/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</row>
    <row r="102" spans="2:23" ht="12.75" customHeight="1">
      <c r="B102" s="206"/>
      <c r="C102" s="206"/>
      <c r="D102" s="206"/>
      <c r="E102" s="206"/>
      <c r="F102" s="206"/>
      <c r="G102" s="206"/>
      <c r="H102" s="206"/>
      <c r="I102" s="206"/>
      <c r="J102" s="206"/>
      <c r="K102" s="206"/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206"/>
      <c r="W102" s="206"/>
    </row>
    <row r="103" spans="2:23" ht="12.75" customHeight="1">
      <c r="B103" s="206"/>
      <c r="C103" s="206"/>
      <c r="D103" s="206"/>
      <c r="E103" s="206"/>
      <c r="F103" s="206"/>
      <c r="G103" s="206"/>
      <c r="H103" s="206"/>
      <c r="I103" s="206"/>
      <c r="J103" s="206"/>
      <c r="K103" s="206"/>
      <c r="L103" s="206"/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  <c r="W103" s="206"/>
    </row>
    <row r="104" spans="2:23" ht="12.75" customHeight="1">
      <c r="B104" s="206"/>
      <c r="C104" s="206"/>
      <c r="D104" s="206"/>
      <c r="E104" s="206"/>
      <c r="F104" s="206"/>
      <c r="G104" s="206"/>
      <c r="H104" s="206"/>
      <c r="I104" s="206"/>
      <c r="J104" s="206"/>
      <c r="K104" s="206"/>
      <c r="L104" s="206"/>
      <c r="M104" s="206"/>
      <c r="N104" s="206"/>
      <c r="O104" s="206"/>
      <c r="P104" s="206"/>
      <c r="Q104" s="206"/>
      <c r="R104" s="206"/>
      <c r="S104" s="206"/>
      <c r="T104" s="206"/>
      <c r="U104" s="206"/>
      <c r="V104" s="206"/>
      <c r="W104" s="206"/>
    </row>
    <row r="105" spans="2:23" ht="12.75" customHeight="1">
      <c r="B105" s="206"/>
      <c r="C105" s="206"/>
      <c r="D105" s="206"/>
      <c r="E105" s="206"/>
      <c r="F105" s="206"/>
      <c r="G105" s="206"/>
      <c r="H105" s="206"/>
      <c r="I105" s="206"/>
      <c r="J105" s="206"/>
      <c r="K105" s="206"/>
      <c r="L105" s="206"/>
      <c r="M105" s="206"/>
      <c r="N105" s="206"/>
      <c r="O105" s="206"/>
      <c r="P105" s="206"/>
      <c r="Q105" s="206"/>
      <c r="R105" s="206"/>
      <c r="S105" s="206"/>
      <c r="T105" s="206"/>
      <c r="U105" s="206"/>
      <c r="V105" s="206"/>
      <c r="W105" s="206"/>
    </row>
    <row r="106" spans="2:23" ht="12.75" customHeight="1">
      <c r="B106" s="206"/>
      <c r="C106" s="206"/>
      <c r="D106" s="206"/>
      <c r="E106" s="206"/>
      <c r="F106" s="206"/>
      <c r="G106" s="206"/>
      <c r="H106" s="206"/>
      <c r="I106" s="206"/>
      <c r="J106" s="206"/>
      <c r="K106" s="206"/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</row>
    <row r="107" spans="2:23" ht="12.75" customHeight="1">
      <c r="B107" s="206"/>
      <c r="C107" s="206"/>
      <c r="D107" s="206"/>
      <c r="E107" s="206"/>
      <c r="F107" s="206"/>
      <c r="G107" s="206"/>
      <c r="H107" s="206"/>
      <c r="I107" s="206"/>
      <c r="J107" s="206"/>
      <c r="K107" s="206"/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</row>
    <row r="108" spans="2:23" ht="12.75" customHeight="1">
      <c r="B108" s="206"/>
      <c r="C108" s="206"/>
      <c r="D108" s="206"/>
      <c r="E108" s="206"/>
      <c r="F108" s="206"/>
      <c r="G108" s="206"/>
      <c r="H108" s="206"/>
      <c r="I108" s="206"/>
      <c r="J108" s="206"/>
      <c r="K108" s="206"/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</row>
    <row r="109" spans="2:23" ht="12.75" customHeight="1">
      <c r="B109" s="206"/>
      <c r="C109" s="206"/>
      <c r="D109" s="206"/>
      <c r="E109" s="206"/>
      <c r="F109" s="206"/>
      <c r="G109" s="206"/>
      <c r="H109" s="206"/>
      <c r="I109" s="206"/>
      <c r="J109" s="206"/>
      <c r="K109" s="206"/>
      <c r="L109" s="206"/>
      <c r="M109" s="206"/>
      <c r="N109" s="206"/>
      <c r="O109" s="206"/>
      <c r="P109" s="206"/>
      <c r="Q109" s="206"/>
      <c r="R109" s="206"/>
      <c r="S109" s="206"/>
      <c r="T109" s="206"/>
      <c r="U109" s="206"/>
      <c r="V109" s="206"/>
      <c r="W109" s="206"/>
    </row>
    <row r="110" spans="2:23" ht="12.75" customHeight="1">
      <c r="B110" s="206"/>
      <c r="C110" s="206"/>
      <c r="D110" s="206"/>
      <c r="E110" s="206"/>
      <c r="F110" s="206"/>
      <c r="G110" s="206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</row>
    <row r="111" spans="2:23" ht="12.75" customHeight="1">
      <c r="B111" s="206"/>
      <c r="C111" s="206"/>
      <c r="D111" s="206"/>
      <c r="E111" s="206"/>
      <c r="F111" s="206"/>
      <c r="G111" s="206"/>
      <c r="H111" s="206"/>
      <c r="I111" s="206"/>
      <c r="J111" s="206"/>
      <c r="K111" s="206"/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</row>
    <row r="112" spans="2:23" ht="12.75" customHeight="1"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  <c r="O112" s="206"/>
      <c r="P112" s="206"/>
      <c r="Q112" s="206"/>
      <c r="R112" s="206"/>
      <c r="S112" s="206"/>
      <c r="T112" s="206"/>
      <c r="U112" s="206"/>
      <c r="V112" s="206"/>
      <c r="W112" s="206"/>
    </row>
    <row r="113" spans="2:23" ht="12.75" customHeight="1">
      <c r="B113" s="206"/>
      <c r="C113" s="206"/>
      <c r="D113" s="206"/>
      <c r="E113" s="206"/>
      <c r="F113" s="206"/>
      <c r="G113" s="206"/>
      <c r="H113" s="206"/>
      <c r="I113" s="206"/>
      <c r="J113" s="206"/>
      <c r="K113" s="206"/>
      <c r="L113" s="206"/>
      <c r="M113" s="206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</row>
    <row r="114" spans="2:23" ht="12.75" customHeight="1">
      <c r="B114" s="206"/>
      <c r="C114" s="206"/>
      <c r="D114" s="206"/>
      <c r="E114" s="206"/>
      <c r="F114" s="206"/>
      <c r="G114" s="206"/>
      <c r="H114" s="206"/>
      <c r="I114" s="206"/>
      <c r="J114" s="206"/>
      <c r="K114" s="206"/>
      <c r="L114" s="206"/>
      <c r="M114" s="206"/>
      <c r="N114" s="206"/>
      <c r="O114" s="206"/>
      <c r="P114" s="206"/>
      <c r="Q114" s="206"/>
      <c r="R114" s="206"/>
      <c r="S114" s="206"/>
      <c r="T114" s="206"/>
      <c r="U114" s="206"/>
      <c r="V114" s="206"/>
      <c r="W114" s="206"/>
    </row>
    <row r="115" spans="2:23" ht="12.75" customHeight="1">
      <c r="B115" s="206"/>
      <c r="C115" s="206"/>
      <c r="D115" s="206"/>
      <c r="E115" s="206"/>
      <c r="F115" s="206"/>
      <c r="G115" s="206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</row>
    <row r="116" spans="2:23" ht="12.75" customHeight="1">
      <c r="B116" s="206"/>
      <c r="C116" s="206"/>
      <c r="D116" s="206"/>
      <c r="E116" s="206"/>
      <c r="F116" s="206"/>
      <c r="G116" s="206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</row>
    <row r="117" spans="2:23" ht="12.75" customHeight="1">
      <c r="B117" s="206"/>
      <c r="C117" s="206"/>
      <c r="D117" s="206"/>
      <c r="E117" s="206"/>
      <c r="F117" s="206"/>
      <c r="G117" s="206"/>
      <c r="H117" s="206"/>
      <c r="I117" s="206"/>
      <c r="J117" s="206"/>
      <c r="K117" s="206"/>
      <c r="L117" s="206"/>
      <c r="M117" s="206"/>
      <c r="N117" s="206"/>
      <c r="O117" s="206"/>
      <c r="P117" s="206"/>
      <c r="Q117" s="206"/>
      <c r="R117" s="206"/>
      <c r="S117" s="206"/>
      <c r="T117" s="206"/>
      <c r="U117" s="206"/>
      <c r="V117" s="206"/>
      <c r="W117" s="206"/>
    </row>
    <row r="118" spans="2:23" ht="12.75" customHeight="1">
      <c r="B118" s="206"/>
      <c r="C118" s="206"/>
      <c r="D118" s="206"/>
      <c r="E118" s="206"/>
      <c r="F118" s="206"/>
      <c r="G118" s="206"/>
      <c r="H118" s="206"/>
      <c r="I118" s="206"/>
      <c r="J118" s="206"/>
      <c r="K118" s="206"/>
      <c r="L118" s="206"/>
      <c r="M118" s="206"/>
      <c r="N118" s="206"/>
      <c r="O118" s="206"/>
      <c r="P118" s="206"/>
      <c r="Q118" s="206"/>
      <c r="R118" s="206"/>
      <c r="S118" s="206"/>
      <c r="T118" s="206"/>
      <c r="U118" s="206"/>
      <c r="V118" s="206"/>
      <c r="W118" s="206"/>
    </row>
    <row r="119" spans="2:23" ht="12.75" customHeight="1">
      <c r="B119" s="206"/>
      <c r="C119" s="206"/>
      <c r="D119" s="206"/>
      <c r="E119" s="206"/>
      <c r="F119" s="206"/>
      <c r="G119" s="206"/>
      <c r="H119" s="206"/>
      <c r="I119" s="206"/>
      <c r="J119" s="206"/>
      <c r="K119" s="206"/>
      <c r="L119" s="206"/>
      <c r="M119" s="206"/>
      <c r="N119" s="206"/>
      <c r="O119" s="206"/>
      <c r="P119" s="206"/>
      <c r="Q119" s="206"/>
      <c r="R119" s="206"/>
      <c r="S119" s="206"/>
      <c r="T119" s="206"/>
      <c r="U119" s="206"/>
      <c r="V119" s="206"/>
      <c r="W119" s="206"/>
    </row>
    <row r="120" spans="2:23" ht="12.75" customHeight="1"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</row>
    <row r="121" spans="2:23" ht="12.75" customHeight="1">
      <c r="B121" s="206"/>
      <c r="C121" s="206"/>
      <c r="D121" s="206"/>
      <c r="E121" s="206"/>
      <c r="F121" s="206"/>
      <c r="G121" s="206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</row>
    <row r="122" spans="2:23" ht="12.75" customHeight="1">
      <c r="B122" s="206"/>
      <c r="C122" s="206"/>
      <c r="D122" s="206"/>
      <c r="E122" s="206"/>
      <c r="F122" s="206"/>
      <c r="G122" s="206"/>
      <c r="H122" s="206"/>
      <c r="I122" s="206"/>
      <c r="J122" s="206"/>
      <c r="K122" s="206"/>
      <c r="L122" s="206"/>
      <c r="M122" s="206"/>
      <c r="N122" s="206"/>
      <c r="O122" s="206"/>
      <c r="P122" s="206"/>
      <c r="Q122" s="206"/>
      <c r="R122" s="206"/>
      <c r="S122" s="206"/>
      <c r="T122" s="206"/>
      <c r="U122" s="206"/>
      <c r="V122" s="206"/>
      <c r="W122" s="206"/>
    </row>
    <row r="123" spans="2:23" ht="12.75" customHeight="1">
      <c r="B123" s="206"/>
      <c r="C123" s="206"/>
      <c r="D123" s="206"/>
      <c r="E123" s="206"/>
      <c r="F123" s="206"/>
      <c r="G123" s="206"/>
      <c r="H123" s="206"/>
      <c r="I123" s="206"/>
      <c r="J123" s="206"/>
      <c r="K123" s="206"/>
      <c r="L123" s="206"/>
      <c r="M123" s="206"/>
      <c r="N123" s="206"/>
      <c r="O123" s="206"/>
      <c r="P123" s="206"/>
      <c r="Q123" s="206"/>
      <c r="R123" s="206"/>
      <c r="S123" s="206"/>
      <c r="T123" s="206"/>
      <c r="U123" s="206"/>
      <c r="V123" s="206"/>
      <c r="W123" s="206"/>
    </row>
    <row r="124" spans="2:23" ht="12.75" customHeight="1">
      <c r="B124" s="206"/>
      <c r="C124" s="206"/>
      <c r="D124" s="206"/>
      <c r="E124" s="206"/>
      <c r="F124" s="206"/>
      <c r="G124" s="206"/>
      <c r="H124" s="206"/>
      <c r="I124" s="206"/>
      <c r="J124" s="206"/>
      <c r="K124" s="206"/>
      <c r="L124" s="206"/>
      <c r="M124" s="206"/>
      <c r="N124" s="206"/>
      <c r="O124" s="206"/>
      <c r="P124" s="206"/>
      <c r="Q124" s="206"/>
      <c r="R124" s="206"/>
      <c r="S124" s="206"/>
      <c r="T124" s="206"/>
      <c r="U124" s="206"/>
      <c r="V124" s="206"/>
      <c r="W124" s="206"/>
    </row>
    <row r="125" spans="2:23" ht="12.75" customHeight="1">
      <c r="B125" s="206"/>
      <c r="C125" s="206"/>
      <c r="D125" s="206"/>
      <c r="E125" s="206"/>
      <c r="F125" s="206"/>
      <c r="G125" s="206"/>
      <c r="H125" s="206"/>
      <c r="I125" s="206"/>
      <c r="J125" s="206"/>
      <c r="K125" s="206"/>
      <c r="L125" s="206"/>
      <c r="M125" s="206"/>
      <c r="N125" s="206"/>
      <c r="O125" s="206"/>
      <c r="P125" s="206"/>
      <c r="Q125" s="206"/>
      <c r="R125" s="206"/>
      <c r="S125" s="206"/>
      <c r="T125" s="206"/>
      <c r="U125" s="206"/>
      <c r="V125" s="206"/>
      <c r="W125" s="206"/>
    </row>
    <row r="126" spans="2:23" ht="12.75" customHeight="1">
      <c r="B126" s="206"/>
      <c r="C126" s="206"/>
      <c r="D126" s="206"/>
      <c r="E126" s="206"/>
      <c r="F126" s="206"/>
      <c r="G126" s="206"/>
      <c r="H126" s="206"/>
      <c r="I126" s="206"/>
      <c r="J126" s="206"/>
      <c r="K126" s="206"/>
      <c r="L126" s="206"/>
      <c r="M126" s="206"/>
      <c r="N126" s="206"/>
      <c r="O126" s="206"/>
      <c r="P126" s="206"/>
      <c r="Q126" s="206"/>
      <c r="R126" s="206"/>
      <c r="S126" s="206"/>
      <c r="T126" s="206"/>
      <c r="U126" s="206"/>
      <c r="V126" s="206"/>
      <c r="W126" s="206"/>
    </row>
    <row r="127" spans="2:23" ht="12.75" customHeight="1">
      <c r="B127" s="206"/>
      <c r="C127" s="206"/>
      <c r="D127" s="206"/>
      <c r="E127" s="206"/>
      <c r="F127" s="206"/>
      <c r="G127" s="206"/>
      <c r="H127" s="206"/>
      <c r="I127" s="206"/>
      <c r="J127" s="206"/>
      <c r="K127" s="206"/>
      <c r="L127" s="206"/>
      <c r="M127" s="206"/>
      <c r="N127" s="206"/>
      <c r="O127" s="206"/>
      <c r="P127" s="206"/>
      <c r="Q127" s="206"/>
      <c r="R127" s="206"/>
      <c r="S127" s="206"/>
      <c r="T127" s="206"/>
      <c r="U127" s="206"/>
      <c r="V127" s="206"/>
      <c r="W127" s="206"/>
    </row>
    <row r="128" spans="2:23" ht="12.75" customHeight="1">
      <c r="B128" s="206"/>
      <c r="C128" s="206"/>
      <c r="D128" s="206"/>
      <c r="E128" s="206"/>
      <c r="F128" s="206"/>
      <c r="G128" s="206"/>
      <c r="H128" s="206"/>
      <c r="I128" s="206"/>
      <c r="J128" s="206"/>
      <c r="K128" s="206"/>
      <c r="L128" s="206"/>
      <c r="M128" s="206"/>
      <c r="N128" s="206"/>
      <c r="O128" s="206"/>
      <c r="P128" s="206"/>
      <c r="Q128" s="206"/>
      <c r="R128" s="206"/>
      <c r="S128" s="206"/>
      <c r="T128" s="206"/>
      <c r="U128" s="206"/>
      <c r="V128" s="206"/>
      <c r="W128" s="206"/>
    </row>
    <row r="129" spans="2:23" ht="12.75" customHeight="1">
      <c r="B129" s="206"/>
      <c r="C129" s="206"/>
      <c r="D129" s="206"/>
      <c r="E129" s="206"/>
      <c r="F129" s="206"/>
      <c r="G129" s="206"/>
      <c r="H129" s="206"/>
      <c r="I129" s="206"/>
      <c r="J129" s="206"/>
      <c r="K129" s="206"/>
      <c r="L129" s="206"/>
      <c r="M129" s="206"/>
      <c r="N129" s="206"/>
      <c r="O129" s="206"/>
      <c r="P129" s="206"/>
      <c r="Q129" s="206"/>
      <c r="R129" s="206"/>
      <c r="S129" s="206"/>
      <c r="T129" s="206"/>
      <c r="U129" s="206"/>
      <c r="V129" s="206"/>
      <c r="W129" s="206"/>
    </row>
    <row r="130" spans="2:23" ht="12.75" customHeight="1">
      <c r="B130" s="206"/>
      <c r="C130" s="206"/>
      <c r="D130" s="206"/>
      <c r="E130" s="206"/>
      <c r="F130" s="206"/>
      <c r="G130" s="206"/>
      <c r="H130" s="206"/>
      <c r="I130" s="206"/>
      <c r="J130" s="206"/>
      <c r="K130" s="206"/>
      <c r="L130" s="206"/>
      <c r="M130" s="206"/>
      <c r="N130" s="206"/>
      <c r="O130" s="206"/>
      <c r="P130" s="206"/>
      <c r="Q130" s="206"/>
      <c r="R130" s="206"/>
      <c r="S130" s="206"/>
      <c r="T130" s="206"/>
      <c r="U130" s="206"/>
      <c r="V130" s="206"/>
      <c r="W130" s="206"/>
    </row>
    <row r="131" spans="2:23" ht="12.75" customHeight="1">
      <c r="B131" s="206"/>
      <c r="C131" s="206"/>
      <c r="D131" s="206"/>
      <c r="E131" s="206"/>
      <c r="F131" s="206"/>
      <c r="G131" s="206"/>
      <c r="H131" s="206"/>
      <c r="I131" s="206"/>
      <c r="J131" s="206"/>
      <c r="K131" s="206"/>
      <c r="L131" s="206"/>
      <c r="M131" s="206"/>
      <c r="N131" s="206"/>
      <c r="O131" s="206"/>
      <c r="P131" s="206"/>
      <c r="Q131" s="206"/>
      <c r="R131" s="206"/>
      <c r="S131" s="206"/>
      <c r="T131" s="206"/>
      <c r="U131" s="206"/>
      <c r="V131" s="206"/>
      <c r="W131" s="206"/>
    </row>
    <row r="132" spans="2:23" ht="12.75" customHeight="1">
      <c r="B132" s="206"/>
      <c r="C132" s="206"/>
      <c r="D132" s="206"/>
      <c r="E132" s="206"/>
      <c r="F132" s="206"/>
      <c r="G132" s="206"/>
      <c r="H132" s="206"/>
      <c r="I132" s="206"/>
      <c r="J132" s="206"/>
      <c r="K132" s="206"/>
      <c r="L132" s="206"/>
      <c r="M132" s="206"/>
      <c r="N132" s="206"/>
      <c r="O132" s="206"/>
      <c r="P132" s="206"/>
      <c r="Q132" s="206"/>
      <c r="R132" s="206"/>
      <c r="S132" s="206"/>
      <c r="T132" s="206"/>
      <c r="U132" s="206"/>
      <c r="V132" s="206"/>
      <c r="W132" s="206"/>
    </row>
    <row r="133" spans="2:23" ht="12.75" customHeight="1">
      <c r="B133" s="206"/>
      <c r="C133" s="206"/>
      <c r="D133" s="206"/>
      <c r="E133" s="206"/>
      <c r="F133" s="206"/>
      <c r="G133" s="206"/>
      <c r="H133" s="206"/>
      <c r="I133" s="206"/>
      <c r="J133" s="206"/>
      <c r="K133" s="206"/>
      <c r="L133" s="206"/>
      <c r="M133" s="206"/>
      <c r="N133" s="206"/>
      <c r="O133" s="206"/>
      <c r="P133" s="206"/>
      <c r="Q133" s="206"/>
      <c r="R133" s="206"/>
      <c r="S133" s="206"/>
      <c r="T133" s="206"/>
      <c r="U133" s="206"/>
      <c r="V133" s="206"/>
      <c r="W133" s="206"/>
    </row>
    <row r="134" spans="2:23" ht="12.75" customHeight="1">
      <c r="B134" s="206"/>
      <c r="C134" s="206"/>
      <c r="D134" s="206"/>
      <c r="E134" s="206"/>
      <c r="F134" s="206"/>
      <c r="G134" s="206"/>
      <c r="H134" s="206"/>
      <c r="I134" s="206"/>
      <c r="J134" s="206"/>
      <c r="K134" s="206"/>
      <c r="L134" s="206"/>
      <c r="M134" s="206"/>
      <c r="N134" s="206"/>
      <c r="O134" s="206"/>
      <c r="P134" s="206"/>
      <c r="Q134" s="206"/>
      <c r="R134" s="206"/>
      <c r="S134" s="206"/>
      <c r="T134" s="206"/>
      <c r="U134" s="206"/>
      <c r="V134" s="206"/>
      <c r="W134" s="206"/>
    </row>
    <row r="135" spans="2:23" ht="12.75" customHeight="1">
      <c r="B135" s="206"/>
      <c r="C135" s="206"/>
      <c r="D135" s="206"/>
      <c r="E135" s="206"/>
      <c r="F135" s="206"/>
      <c r="G135" s="206"/>
      <c r="H135" s="206"/>
      <c r="I135" s="206"/>
      <c r="J135" s="206"/>
      <c r="K135" s="206"/>
      <c r="L135" s="206"/>
      <c r="M135" s="206"/>
      <c r="N135" s="206"/>
      <c r="O135" s="206"/>
      <c r="P135" s="206"/>
      <c r="Q135" s="206"/>
      <c r="R135" s="206"/>
      <c r="S135" s="206"/>
      <c r="T135" s="206"/>
      <c r="U135" s="206"/>
      <c r="V135" s="206"/>
      <c r="W135" s="206"/>
    </row>
    <row r="136" spans="2:23" ht="12.75" customHeight="1">
      <c r="B136" s="206"/>
      <c r="C136" s="206"/>
      <c r="D136" s="206"/>
      <c r="E136" s="206"/>
      <c r="F136" s="206"/>
      <c r="G136" s="206"/>
      <c r="H136" s="206"/>
      <c r="I136" s="206"/>
      <c r="J136" s="206"/>
      <c r="K136" s="206"/>
      <c r="L136" s="206"/>
      <c r="M136" s="206"/>
      <c r="N136" s="206"/>
      <c r="O136" s="206"/>
      <c r="P136" s="206"/>
      <c r="Q136" s="206"/>
      <c r="R136" s="206"/>
      <c r="S136" s="206"/>
      <c r="T136" s="206"/>
      <c r="U136" s="206"/>
      <c r="V136" s="206"/>
      <c r="W136" s="206"/>
    </row>
    <row r="137" spans="2:23" ht="12.75" customHeight="1">
      <c r="B137" s="206"/>
      <c r="C137" s="206"/>
      <c r="D137" s="206"/>
      <c r="E137" s="206"/>
      <c r="F137" s="206"/>
      <c r="G137" s="206"/>
      <c r="H137" s="206"/>
      <c r="I137" s="206"/>
      <c r="J137" s="206"/>
      <c r="K137" s="206"/>
      <c r="L137" s="206"/>
      <c r="M137" s="206"/>
      <c r="N137" s="206"/>
      <c r="O137" s="206"/>
      <c r="P137" s="206"/>
      <c r="Q137" s="206"/>
      <c r="R137" s="206"/>
      <c r="S137" s="206"/>
      <c r="T137" s="206"/>
      <c r="U137" s="206"/>
      <c r="V137" s="206"/>
      <c r="W137" s="206"/>
    </row>
    <row r="138" spans="2:23" ht="12.75" customHeight="1">
      <c r="B138" s="206"/>
      <c r="C138" s="206"/>
      <c r="D138" s="206"/>
      <c r="E138" s="206"/>
      <c r="F138" s="206"/>
      <c r="G138" s="206"/>
      <c r="H138" s="206"/>
      <c r="I138" s="206"/>
      <c r="J138" s="206"/>
      <c r="K138" s="206"/>
      <c r="L138" s="206"/>
      <c r="M138" s="206"/>
      <c r="N138" s="206"/>
      <c r="O138" s="206"/>
      <c r="P138" s="206"/>
      <c r="Q138" s="206"/>
      <c r="R138" s="206"/>
      <c r="S138" s="206"/>
      <c r="T138" s="206"/>
      <c r="U138" s="206"/>
      <c r="V138" s="206"/>
      <c r="W138" s="206"/>
    </row>
    <row r="139" spans="2:23" ht="12.75" customHeight="1">
      <c r="B139" s="206"/>
      <c r="C139" s="206"/>
      <c r="D139" s="206"/>
      <c r="E139" s="206"/>
      <c r="F139" s="206"/>
      <c r="G139" s="206"/>
      <c r="H139" s="206"/>
      <c r="I139" s="206"/>
      <c r="J139" s="206"/>
      <c r="K139" s="206"/>
      <c r="L139" s="206"/>
      <c r="M139" s="206"/>
      <c r="N139" s="206"/>
      <c r="O139" s="206"/>
      <c r="P139" s="206"/>
      <c r="Q139" s="206"/>
      <c r="R139" s="206"/>
      <c r="S139" s="206"/>
      <c r="T139" s="206"/>
      <c r="U139" s="206"/>
      <c r="V139" s="206"/>
      <c r="W139" s="206"/>
    </row>
    <row r="140" spans="2:23" ht="12.75" customHeight="1">
      <c r="B140" s="206"/>
      <c r="C140" s="206"/>
      <c r="D140" s="206"/>
      <c r="E140" s="206"/>
      <c r="F140" s="206"/>
      <c r="G140" s="206"/>
      <c r="H140" s="206"/>
      <c r="I140" s="206"/>
      <c r="J140" s="206"/>
      <c r="K140" s="206"/>
      <c r="L140" s="206"/>
      <c r="M140" s="206"/>
      <c r="N140" s="206"/>
      <c r="O140" s="206"/>
      <c r="P140" s="206"/>
      <c r="Q140" s="206"/>
      <c r="R140" s="206"/>
      <c r="S140" s="206"/>
      <c r="T140" s="206"/>
      <c r="U140" s="206"/>
      <c r="V140" s="206"/>
      <c r="W140" s="206"/>
    </row>
    <row r="141" spans="2:23" ht="12.75" customHeight="1">
      <c r="B141" s="206"/>
      <c r="C141" s="206"/>
      <c r="D141" s="206"/>
      <c r="E141" s="206"/>
      <c r="F141" s="206"/>
      <c r="G141" s="206"/>
      <c r="H141" s="206"/>
      <c r="I141" s="206"/>
      <c r="J141" s="206"/>
      <c r="K141" s="206"/>
      <c r="L141" s="206"/>
      <c r="M141" s="206"/>
      <c r="N141" s="206"/>
      <c r="O141" s="206"/>
      <c r="P141" s="206"/>
      <c r="Q141" s="206"/>
      <c r="R141" s="206"/>
      <c r="S141" s="206"/>
      <c r="T141" s="206"/>
      <c r="U141" s="206"/>
      <c r="V141" s="206"/>
      <c r="W141" s="206"/>
    </row>
    <row r="142" spans="2:23" ht="12.75" customHeight="1">
      <c r="B142" s="206"/>
      <c r="C142" s="206"/>
      <c r="D142" s="206"/>
      <c r="E142" s="206"/>
      <c r="F142" s="206"/>
      <c r="G142" s="206"/>
      <c r="H142" s="206"/>
      <c r="I142" s="206"/>
      <c r="J142" s="206"/>
      <c r="K142" s="206"/>
      <c r="L142" s="206"/>
      <c r="M142" s="206"/>
      <c r="N142" s="206"/>
      <c r="O142" s="206"/>
      <c r="P142" s="206"/>
      <c r="Q142" s="206"/>
      <c r="R142" s="206"/>
      <c r="S142" s="206"/>
      <c r="T142" s="206"/>
      <c r="U142" s="206"/>
      <c r="V142" s="206"/>
      <c r="W142" s="206"/>
    </row>
    <row r="143" spans="2:23" ht="12.75" customHeight="1">
      <c r="B143" s="206"/>
      <c r="C143" s="206"/>
      <c r="D143" s="206"/>
      <c r="E143" s="206"/>
      <c r="F143" s="206"/>
      <c r="G143" s="206"/>
      <c r="H143" s="206"/>
      <c r="I143" s="206"/>
      <c r="J143" s="206"/>
      <c r="K143" s="206"/>
      <c r="L143" s="206"/>
      <c r="M143" s="206"/>
      <c r="N143" s="206"/>
      <c r="O143" s="206"/>
      <c r="P143" s="206"/>
      <c r="Q143" s="206"/>
      <c r="R143" s="206"/>
      <c r="S143" s="206"/>
      <c r="T143" s="206"/>
      <c r="U143" s="206"/>
      <c r="V143" s="206"/>
      <c r="W143" s="206"/>
    </row>
    <row r="144" spans="2:23" ht="12.75" customHeight="1">
      <c r="B144" s="206"/>
      <c r="C144" s="206"/>
      <c r="D144" s="206"/>
      <c r="E144" s="206"/>
      <c r="F144" s="206"/>
      <c r="G144" s="206"/>
      <c r="H144" s="206"/>
      <c r="I144" s="206"/>
      <c r="J144" s="206"/>
      <c r="K144" s="206"/>
      <c r="L144" s="206"/>
      <c r="M144" s="206"/>
      <c r="N144" s="206"/>
      <c r="O144" s="206"/>
      <c r="P144" s="206"/>
      <c r="Q144" s="206"/>
      <c r="R144" s="206"/>
      <c r="S144" s="206"/>
      <c r="T144" s="206"/>
      <c r="U144" s="206"/>
      <c r="V144" s="206"/>
      <c r="W144" s="206"/>
    </row>
    <row r="145" spans="2:23" ht="12.75" customHeight="1"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  <c r="L145" s="206"/>
      <c r="M145" s="206"/>
      <c r="N145" s="206"/>
      <c r="O145" s="206"/>
      <c r="P145" s="206"/>
      <c r="Q145" s="206"/>
      <c r="R145" s="206"/>
      <c r="S145" s="206"/>
      <c r="T145" s="206"/>
      <c r="U145" s="206"/>
      <c r="V145" s="206"/>
      <c r="W145" s="206"/>
    </row>
    <row r="146" spans="2:23" ht="12.75" customHeight="1">
      <c r="B146" s="206"/>
      <c r="C146" s="206"/>
      <c r="D146" s="206"/>
      <c r="E146" s="206"/>
      <c r="F146" s="206"/>
      <c r="G146" s="206"/>
      <c r="H146" s="206"/>
      <c r="I146" s="206"/>
      <c r="J146" s="206"/>
      <c r="K146" s="206"/>
      <c r="L146" s="206"/>
      <c r="M146" s="206"/>
      <c r="N146" s="206"/>
      <c r="O146" s="206"/>
      <c r="P146" s="206"/>
      <c r="Q146" s="206"/>
      <c r="R146" s="206"/>
      <c r="S146" s="206"/>
      <c r="T146" s="206"/>
      <c r="U146" s="206"/>
      <c r="V146" s="206"/>
      <c r="W146" s="206"/>
    </row>
    <row r="147" spans="2:23" ht="12.75" customHeight="1">
      <c r="B147" s="206"/>
      <c r="C147" s="206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  <c r="O147" s="206"/>
      <c r="P147" s="206"/>
      <c r="Q147" s="206"/>
      <c r="R147" s="206"/>
      <c r="S147" s="206"/>
      <c r="T147" s="206"/>
      <c r="U147" s="206"/>
      <c r="V147" s="206"/>
      <c r="W147" s="206"/>
    </row>
    <row r="148" spans="2:23" ht="12.75" customHeight="1">
      <c r="B148" s="206"/>
      <c r="C148" s="206"/>
      <c r="D148" s="206"/>
      <c r="E148" s="206"/>
      <c r="F148" s="206"/>
      <c r="G148" s="206"/>
      <c r="H148" s="206"/>
      <c r="I148" s="206"/>
      <c r="J148" s="206"/>
      <c r="K148" s="206"/>
      <c r="L148" s="206"/>
      <c r="M148" s="206"/>
      <c r="N148" s="206"/>
      <c r="O148" s="206"/>
      <c r="P148" s="206"/>
      <c r="Q148" s="206"/>
      <c r="R148" s="206"/>
      <c r="S148" s="206"/>
      <c r="T148" s="206"/>
      <c r="U148" s="206"/>
      <c r="V148" s="206"/>
      <c r="W148" s="206"/>
    </row>
    <row r="149" spans="2:23" ht="12.75" customHeight="1">
      <c r="B149" s="206"/>
      <c r="C149" s="206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  <c r="O149" s="206"/>
      <c r="P149" s="206"/>
      <c r="Q149" s="206"/>
      <c r="R149" s="206"/>
      <c r="S149" s="206"/>
      <c r="T149" s="206"/>
      <c r="U149" s="206"/>
      <c r="V149" s="206"/>
      <c r="W149" s="206"/>
    </row>
    <row r="150" spans="2:23" ht="12.75" customHeight="1">
      <c r="B150" s="206"/>
      <c r="C150" s="206"/>
      <c r="D150" s="206"/>
      <c r="E150" s="206"/>
      <c r="F150" s="206"/>
      <c r="G150" s="206"/>
      <c r="H150" s="206"/>
      <c r="I150" s="206"/>
      <c r="J150" s="206"/>
      <c r="K150" s="206"/>
      <c r="L150" s="206"/>
      <c r="M150" s="206"/>
      <c r="N150" s="206"/>
      <c r="O150" s="206"/>
      <c r="P150" s="206"/>
      <c r="Q150" s="206"/>
      <c r="R150" s="206"/>
      <c r="S150" s="206"/>
      <c r="T150" s="206"/>
      <c r="U150" s="206"/>
      <c r="V150" s="206"/>
      <c r="W150" s="206"/>
    </row>
    <row r="151" spans="2:23" ht="12.75" customHeight="1">
      <c r="B151" s="206"/>
      <c r="C151" s="206"/>
      <c r="D151" s="206"/>
      <c r="E151" s="206"/>
      <c r="F151" s="206"/>
      <c r="G151" s="206"/>
      <c r="H151" s="206"/>
      <c r="I151" s="206"/>
      <c r="J151" s="206"/>
      <c r="K151" s="206"/>
      <c r="L151" s="206"/>
      <c r="M151" s="206"/>
      <c r="N151" s="206"/>
      <c r="O151" s="206"/>
      <c r="P151" s="206"/>
      <c r="Q151" s="206"/>
      <c r="R151" s="206"/>
      <c r="S151" s="206"/>
      <c r="T151" s="206"/>
      <c r="U151" s="206"/>
      <c r="V151" s="206"/>
      <c r="W151" s="206"/>
    </row>
    <row r="152" spans="2:23" ht="12.75" customHeight="1">
      <c r="B152" s="206"/>
      <c r="C152" s="206"/>
      <c r="D152" s="206"/>
      <c r="E152" s="206"/>
      <c r="F152" s="206"/>
      <c r="G152" s="206"/>
      <c r="H152" s="206"/>
      <c r="I152" s="206"/>
      <c r="J152" s="206"/>
      <c r="K152" s="206"/>
      <c r="L152" s="206"/>
      <c r="M152" s="206"/>
      <c r="N152" s="206"/>
      <c r="O152" s="206"/>
      <c r="P152" s="206"/>
      <c r="Q152" s="206"/>
      <c r="R152" s="206"/>
      <c r="S152" s="206"/>
      <c r="T152" s="206"/>
      <c r="U152" s="206"/>
      <c r="V152" s="206"/>
      <c r="W152" s="206"/>
    </row>
    <row r="153" spans="2:23" ht="12.75" customHeight="1">
      <c r="B153" s="206"/>
      <c r="C153" s="206"/>
      <c r="D153" s="206"/>
      <c r="E153" s="206"/>
      <c r="F153" s="206"/>
      <c r="G153" s="206"/>
      <c r="H153" s="206"/>
      <c r="I153" s="206"/>
      <c r="J153" s="206"/>
      <c r="K153" s="206"/>
      <c r="L153" s="206"/>
      <c r="M153" s="206"/>
      <c r="N153" s="206"/>
      <c r="O153" s="206"/>
      <c r="P153" s="206"/>
      <c r="Q153" s="206"/>
      <c r="R153" s="206"/>
      <c r="S153" s="206"/>
      <c r="T153" s="206"/>
      <c r="U153" s="206"/>
      <c r="V153" s="206"/>
      <c r="W153" s="206"/>
    </row>
    <row r="154" spans="2:23" ht="12.75" customHeight="1">
      <c r="B154" s="206"/>
      <c r="C154" s="206"/>
      <c r="D154" s="206"/>
      <c r="E154" s="206"/>
      <c r="F154" s="206"/>
      <c r="G154" s="206"/>
      <c r="H154" s="206"/>
      <c r="I154" s="206"/>
      <c r="J154" s="206"/>
      <c r="K154" s="206"/>
      <c r="L154" s="206"/>
      <c r="M154" s="206"/>
      <c r="N154" s="206"/>
      <c r="O154" s="206"/>
      <c r="P154" s="206"/>
      <c r="Q154" s="206"/>
      <c r="R154" s="206"/>
      <c r="S154" s="206"/>
      <c r="T154" s="206"/>
      <c r="U154" s="206"/>
      <c r="V154" s="206"/>
      <c r="W154" s="206"/>
    </row>
    <row r="155" spans="2:23" ht="12.75" customHeight="1">
      <c r="B155" s="206"/>
      <c r="C155" s="206"/>
      <c r="D155" s="206"/>
      <c r="E155" s="206"/>
      <c r="F155" s="206"/>
      <c r="G155" s="206"/>
      <c r="H155" s="206"/>
      <c r="I155" s="206"/>
      <c r="J155" s="206"/>
      <c r="K155" s="206"/>
      <c r="L155" s="206"/>
      <c r="M155" s="206"/>
      <c r="N155" s="206"/>
      <c r="O155" s="206"/>
      <c r="P155" s="206"/>
      <c r="Q155" s="206"/>
      <c r="R155" s="206"/>
      <c r="S155" s="206"/>
      <c r="T155" s="206"/>
      <c r="U155" s="206"/>
      <c r="V155" s="206"/>
      <c r="W155" s="206"/>
    </row>
    <row r="156" spans="2:23" ht="12.75" customHeight="1">
      <c r="B156" s="206"/>
      <c r="C156" s="206"/>
      <c r="D156" s="206"/>
      <c r="E156" s="206"/>
      <c r="F156" s="206"/>
      <c r="G156" s="206"/>
      <c r="H156" s="206"/>
      <c r="I156" s="206"/>
      <c r="J156" s="206"/>
      <c r="K156" s="206"/>
      <c r="L156" s="206"/>
      <c r="M156" s="206"/>
      <c r="N156" s="206"/>
      <c r="O156" s="206"/>
      <c r="P156" s="206"/>
      <c r="Q156" s="206"/>
      <c r="R156" s="206"/>
      <c r="S156" s="206"/>
      <c r="T156" s="206"/>
      <c r="U156" s="206"/>
      <c r="V156" s="206"/>
      <c r="W156" s="206"/>
    </row>
    <row r="157" spans="2:23" ht="12.75" customHeight="1">
      <c r="B157" s="206"/>
      <c r="C157" s="206"/>
      <c r="D157" s="206"/>
      <c r="E157" s="206"/>
      <c r="F157" s="206"/>
      <c r="G157" s="206"/>
      <c r="H157" s="206"/>
      <c r="I157" s="206"/>
      <c r="J157" s="206"/>
      <c r="K157" s="206"/>
      <c r="L157" s="206"/>
      <c r="M157" s="206"/>
      <c r="N157" s="206"/>
      <c r="O157" s="206"/>
      <c r="P157" s="206"/>
      <c r="Q157" s="206"/>
      <c r="R157" s="206"/>
      <c r="S157" s="206"/>
      <c r="T157" s="206"/>
      <c r="U157" s="206"/>
      <c r="V157" s="206"/>
      <c r="W157" s="206"/>
    </row>
    <row r="158" spans="2:23" ht="12.75" customHeight="1">
      <c r="B158" s="206"/>
      <c r="C158" s="206"/>
      <c r="D158" s="206"/>
      <c r="E158" s="206"/>
      <c r="F158" s="206"/>
      <c r="G158" s="206"/>
      <c r="H158" s="206"/>
      <c r="I158" s="206"/>
      <c r="J158" s="206"/>
      <c r="K158" s="206"/>
      <c r="L158" s="206"/>
      <c r="M158" s="206"/>
      <c r="N158" s="206"/>
      <c r="O158" s="206"/>
      <c r="P158" s="206"/>
      <c r="Q158" s="206"/>
      <c r="R158" s="206"/>
      <c r="S158" s="206"/>
      <c r="T158" s="206"/>
      <c r="U158" s="206"/>
      <c r="V158" s="206"/>
      <c r="W158" s="206"/>
    </row>
    <row r="159" spans="2:23" ht="12.75" customHeight="1">
      <c r="B159" s="206"/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  <c r="O159" s="206"/>
      <c r="P159" s="206"/>
      <c r="Q159" s="206"/>
      <c r="R159" s="206"/>
      <c r="S159" s="206"/>
      <c r="T159" s="206"/>
      <c r="U159" s="206"/>
      <c r="V159" s="206"/>
      <c r="W159" s="206"/>
    </row>
    <row r="160" spans="2:23" ht="12.75" customHeight="1">
      <c r="B160" s="206"/>
      <c r="C160" s="206"/>
      <c r="D160" s="206"/>
      <c r="E160" s="206"/>
      <c r="F160" s="206"/>
      <c r="G160" s="206"/>
      <c r="H160" s="206"/>
      <c r="I160" s="206"/>
      <c r="J160" s="206"/>
      <c r="K160" s="206"/>
      <c r="L160" s="206"/>
      <c r="M160" s="206"/>
      <c r="N160" s="206"/>
      <c r="O160" s="206"/>
      <c r="P160" s="206"/>
      <c r="Q160" s="206"/>
      <c r="R160" s="206"/>
      <c r="S160" s="206"/>
      <c r="T160" s="206"/>
      <c r="U160" s="206"/>
      <c r="V160" s="206"/>
      <c r="W160" s="206"/>
    </row>
    <row r="161" spans="2:23" ht="12.75" customHeight="1">
      <c r="B161" s="206"/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  <c r="O161" s="206"/>
      <c r="P161" s="206"/>
      <c r="Q161" s="206"/>
      <c r="R161" s="206"/>
      <c r="S161" s="206"/>
      <c r="T161" s="206"/>
      <c r="U161" s="206"/>
      <c r="V161" s="206"/>
      <c r="W161" s="206"/>
    </row>
    <row r="162" spans="2:23" ht="12.75" customHeight="1">
      <c r="B162" s="206"/>
      <c r="C162" s="206"/>
      <c r="D162" s="206"/>
      <c r="E162" s="206"/>
      <c r="F162" s="206"/>
      <c r="G162" s="206"/>
      <c r="H162" s="206"/>
      <c r="I162" s="206"/>
      <c r="J162" s="206"/>
      <c r="K162" s="206"/>
      <c r="L162" s="206"/>
      <c r="M162" s="206"/>
      <c r="N162" s="206"/>
      <c r="O162" s="206"/>
      <c r="P162" s="206"/>
      <c r="Q162" s="206"/>
      <c r="R162" s="206"/>
      <c r="S162" s="206"/>
      <c r="T162" s="206"/>
      <c r="U162" s="206"/>
      <c r="V162" s="206"/>
      <c r="W162" s="206"/>
    </row>
    <row r="163" spans="2:23" ht="12.75" customHeight="1"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  <c r="L163" s="206"/>
      <c r="M163" s="206"/>
      <c r="N163" s="206"/>
      <c r="O163" s="206"/>
      <c r="P163" s="206"/>
      <c r="Q163" s="206"/>
      <c r="R163" s="206"/>
      <c r="S163" s="206"/>
      <c r="T163" s="206"/>
      <c r="U163" s="206"/>
      <c r="V163" s="206"/>
      <c r="W163" s="206"/>
    </row>
    <row r="164" spans="2:23" ht="12.75" customHeight="1">
      <c r="B164" s="206"/>
      <c r="C164" s="206"/>
      <c r="D164" s="206"/>
      <c r="E164" s="206"/>
      <c r="F164" s="206"/>
      <c r="G164" s="206"/>
      <c r="H164" s="206"/>
      <c r="I164" s="206"/>
      <c r="J164" s="206"/>
      <c r="K164" s="206"/>
      <c r="L164" s="206"/>
      <c r="M164" s="206"/>
      <c r="N164" s="206"/>
      <c r="O164" s="206"/>
      <c r="P164" s="206"/>
      <c r="Q164" s="206"/>
      <c r="R164" s="206"/>
      <c r="S164" s="206"/>
      <c r="T164" s="206"/>
      <c r="U164" s="206"/>
      <c r="V164" s="206"/>
      <c r="W164" s="206"/>
    </row>
    <row r="165" spans="2:23" ht="12.75" customHeight="1">
      <c r="B165" s="206"/>
      <c r="C165" s="206"/>
      <c r="D165" s="206"/>
      <c r="E165" s="206"/>
      <c r="F165" s="206"/>
      <c r="G165" s="206"/>
      <c r="H165" s="206"/>
      <c r="I165" s="206"/>
      <c r="J165" s="206"/>
      <c r="K165" s="206"/>
      <c r="L165" s="206"/>
      <c r="M165" s="206"/>
      <c r="N165" s="206"/>
      <c r="O165" s="206"/>
      <c r="P165" s="206"/>
      <c r="Q165" s="206"/>
      <c r="R165" s="206"/>
      <c r="S165" s="206"/>
      <c r="T165" s="206"/>
      <c r="U165" s="206"/>
      <c r="V165" s="206"/>
      <c r="W165" s="206"/>
    </row>
    <row r="166" spans="2:23" ht="12.75" customHeight="1">
      <c r="B166" s="206"/>
      <c r="C166" s="206"/>
      <c r="D166" s="206"/>
      <c r="E166" s="206"/>
      <c r="F166" s="206"/>
      <c r="G166" s="206"/>
      <c r="H166" s="206"/>
      <c r="I166" s="206"/>
      <c r="J166" s="206"/>
      <c r="K166" s="206"/>
      <c r="L166" s="206"/>
      <c r="M166" s="206"/>
      <c r="N166" s="206"/>
      <c r="O166" s="206"/>
      <c r="P166" s="206"/>
      <c r="Q166" s="206"/>
      <c r="R166" s="206"/>
      <c r="S166" s="206"/>
      <c r="T166" s="206"/>
      <c r="U166" s="206"/>
      <c r="V166" s="206"/>
      <c r="W166" s="206"/>
    </row>
    <row r="167" spans="2:23" ht="12.75" customHeight="1">
      <c r="B167" s="206"/>
      <c r="C167" s="206"/>
      <c r="D167" s="206"/>
      <c r="E167" s="206"/>
      <c r="F167" s="206"/>
      <c r="G167" s="206"/>
      <c r="H167" s="206"/>
      <c r="I167" s="206"/>
      <c r="J167" s="206"/>
      <c r="K167" s="206"/>
      <c r="L167" s="206"/>
      <c r="M167" s="206"/>
      <c r="N167" s="206"/>
      <c r="O167" s="206"/>
      <c r="P167" s="206"/>
      <c r="Q167" s="206"/>
      <c r="R167" s="206"/>
      <c r="S167" s="206"/>
      <c r="T167" s="206"/>
      <c r="U167" s="206"/>
      <c r="V167" s="206"/>
      <c r="W167" s="206"/>
    </row>
    <row r="168" spans="2:23" ht="12.75" customHeight="1">
      <c r="B168" s="206"/>
      <c r="C168" s="206"/>
      <c r="D168" s="206"/>
      <c r="E168" s="206"/>
      <c r="F168" s="206"/>
      <c r="G168" s="206"/>
      <c r="H168" s="206"/>
      <c r="I168" s="206"/>
      <c r="J168" s="206"/>
      <c r="K168" s="206"/>
      <c r="L168" s="206"/>
      <c r="M168" s="206"/>
      <c r="N168" s="206"/>
      <c r="O168" s="206"/>
      <c r="P168" s="206"/>
      <c r="Q168" s="206"/>
      <c r="R168" s="206"/>
      <c r="S168" s="206"/>
      <c r="T168" s="206"/>
      <c r="U168" s="206"/>
      <c r="V168" s="206"/>
      <c r="W168" s="206"/>
    </row>
    <row r="169" spans="2:23" ht="12.75" customHeight="1">
      <c r="B169" s="206"/>
      <c r="C169" s="206"/>
      <c r="D169" s="206"/>
      <c r="E169" s="206"/>
      <c r="F169" s="206"/>
      <c r="G169" s="206"/>
      <c r="H169" s="206"/>
      <c r="I169" s="206"/>
      <c r="J169" s="206"/>
      <c r="K169" s="206"/>
      <c r="L169" s="206"/>
      <c r="M169" s="206"/>
      <c r="N169" s="206"/>
      <c r="O169" s="206"/>
      <c r="P169" s="206"/>
      <c r="Q169" s="206"/>
      <c r="R169" s="206"/>
      <c r="S169" s="206"/>
      <c r="T169" s="206"/>
      <c r="U169" s="206"/>
      <c r="V169" s="206"/>
      <c r="W169" s="206"/>
    </row>
    <row r="170" spans="2:23" ht="12.75" customHeight="1">
      <c r="B170" s="206"/>
      <c r="C170" s="206"/>
      <c r="D170" s="206"/>
      <c r="E170" s="206"/>
      <c r="F170" s="206"/>
      <c r="G170" s="206"/>
      <c r="H170" s="206"/>
      <c r="I170" s="206"/>
      <c r="J170" s="206"/>
      <c r="K170" s="206"/>
      <c r="L170" s="206"/>
      <c r="M170" s="206"/>
      <c r="N170" s="206"/>
      <c r="O170" s="206"/>
      <c r="P170" s="206"/>
      <c r="Q170" s="206"/>
      <c r="R170" s="206"/>
      <c r="S170" s="206"/>
      <c r="T170" s="206"/>
      <c r="U170" s="206"/>
      <c r="V170" s="206"/>
      <c r="W170" s="206"/>
    </row>
    <row r="171" spans="2:23" ht="12.75" customHeight="1">
      <c r="B171" s="206"/>
      <c r="C171" s="206"/>
      <c r="D171" s="206"/>
      <c r="E171" s="206"/>
      <c r="F171" s="206"/>
      <c r="G171" s="206"/>
      <c r="H171" s="206"/>
      <c r="I171" s="206"/>
      <c r="J171" s="206"/>
      <c r="K171" s="206"/>
      <c r="L171" s="206"/>
      <c r="M171" s="206"/>
      <c r="N171" s="206"/>
      <c r="O171" s="206"/>
      <c r="P171" s="206"/>
      <c r="Q171" s="206"/>
      <c r="R171" s="206"/>
      <c r="S171" s="206"/>
      <c r="T171" s="206"/>
      <c r="U171" s="206"/>
      <c r="V171" s="206"/>
      <c r="W171" s="206"/>
    </row>
    <row r="172" spans="2:23" ht="12.75" customHeight="1">
      <c r="B172" s="206"/>
      <c r="C172" s="206"/>
      <c r="D172" s="206"/>
      <c r="E172" s="206"/>
      <c r="F172" s="206"/>
      <c r="G172" s="206"/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</row>
    <row r="173" spans="2:23" ht="12.75" customHeight="1">
      <c r="B173" s="206"/>
      <c r="C173" s="206"/>
      <c r="D173" s="206"/>
      <c r="E173" s="206"/>
      <c r="F173" s="206"/>
      <c r="G173" s="206"/>
      <c r="H173" s="206"/>
      <c r="I173" s="206"/>
      <c r="J173" s="206"/>
      <c r="K173" s="206"/>
      <c r="L173" s="206"/>
      <c r="M173" s="206"/>
      <c r="N173" s="206"/>
      <c r="O173" s="206"/>
      <c r="P173" s="206"/>
      <c r="Q173" s="206"/>
      <c r="R173" s="206"/>
      <c r="S173" s="206"/>
      <c r="T173" s="206"/>
      <c r="U173" s="206"/>
      <c r="V173" s="206"/>
      <c r="W173" s="206"/>
    </row>
    <row r="174" spans="2:23" ht="12.75" customHeight="1">
      <c r="B174" s="206"/>
      <c r="C174" s="206"/>
      <c r="D174" s="206"/>
      <c r="E174" s="206"/>
      <c r="F174" s="206"/>
      <c r="G174" s="206"/>
      <c r="H174" s="206"/>
      <c r="I174" s="206"/>
      <c r="J174" s="206"/>
      <c r="K174" s="206"/>
      <c r="L174" s="206"/>
      <c r="M174" s="206"/>
      <c r="N174" s="206"/>
      <c r="O174" s="206"/>
      <c r="P174" s="206"/>
      <c r="Q174" s="206"/>
      <c r="R174" s="206"/>
      <c r="S174" s="206"/>
      <c r="T174" s="206"/>
      <c r="U174" s="206"/>
      <c r="V174" s="206"/>
      <c r="W174" s="206"/>
    </row>
    <row r="175" spans="2:23" ht="12.75" customHeight="1">
      <c r="B175" s="206"/>
      <c r="C175" s="206"/>
      <c r="D175" s="206"/>
      <c r="E175" s="206"/>
      <c r="F175" s="206"/>
      <c r="G175" s="206"/>
      <c r="H175" s="206"/>
      <c r="I175" s="206"/>
      <c r="J175" s="206"/>
      <c r="K175" s="206"/>
      <c r="L175" s="206"/>
      <c r="M175" s="206"/>
      <c r="N175" s="206"/>
      <c r="O175" s="206"/>
      <c r="P175" s="206"/>
      <c r="Q175" s="206"/>
      <c r="R175" s="206"/>
      <c r="S175" s="206"/>
      <c r="T175" s="206"/>
      <c r="U175" s="206"/>
      <c r="V175" s="206"/>
      <c r="W175" s="206"/>
    </row>
    <row r="176" spans="2:23" ht="12.75" customHeight="1">
      <c r="B176" s="206"/>
      <c r="C176" s="206"/>
      <c r="D176" s="206"/>
      <c r="E176" s="206"/>
      <c r="F176" s="206"/>
      <c r="G176" s="206"/>
      <c r="H176" s="206"/>
      <c r="I176" s="206"/>
      <c r="J176" s="206"/>
      <c r="K176" s="206"/>
      <c r="L176" s="206"/>
      <c r="M176" s="206"/>
      <c r="N176" s="206"/>
      <c r="O176" s="206"/>
      <c r="P176" s="206"/>
      <c r="Q176" s="206"/>
      <c r="R176" s="206"/>
      <c r="S176" s="206"/>
      <c r="T176" s="206"/>
      <c r="U176" s="206"/>
      <c r="V176" s="206"/>
      <c r="W176" s="206"/>
    </row>
    <row r="177" spans="2:23" ht="12.75" customHeight="1">
      <c r="B177" s="206"/>
      <c r="C177" s="206"/>
      <c r="D177" s="206"/>
      <c r="E177" s="206"/>
      <c r="F177" s="206"/>
      <c r="G177" s="206"/>
      <c r="H177" s="206"/>
      <c r="I177" s="206"/>
      <c r="J177" s="206"/>
      <c r="K177" s="206"/>
      <c r="L177" s="206"/>
      <c r="M177" s="206"/>
      <c r="N177" s="206"/>
      <c r="O177" s="206"/>
      <c r="P177" s="206"/>
      <c r="Q177" s="206"/>
      <c r="R177" s="206"/>
      <c r="S177" s="206"/>
      <c r="T177" s="206"/>
      <c r="U177" s="206"/>
      <c r="V177" s="206"/>
      <c r="W177" s="206"/>
    </row>
    <row r="178" spans="2:23" ht="12.75" customHeight="1">
      <c r="B178" s="206"/>
      <c r="C178" s="206"/>
      <c r="D178" s="206"/>
      <c r="E178" s="206"/>
      <c r="F178" s="206"/>
      <c r="G178" s="206"/>
      <c r="H178" s="206"/>
      <c r="I178" s="206"/>
      <c r="J178" s="206"/>
      <c r="K178" s="206"/>
      <c r="L178" s="206"/>
      <c r="M178" s="206"/>
      <c r="N178" s="206"/>
      <c r="O178" s="206"/>
      <c r="P178" s="206"/>
      <c r="Q178" s="206"/>
      <c r="R178" s="206"/>
      <c r="S178" s="206"/>
      <c r="T178" s="206"/>
      <c r="U178" s="206"/>
      <c r="V178" s="206"/>
      <c r="W178" s="206"/>
    </row>
    <row r="179" spans="2:23" ht="12.75" customHeight="1">
      <c r="B179" s="206"/>
      <c r="C179" s="206"/>
      <c r="D179" s="206"/>
      <c r="E179" s="206"/>
      <c r="F179" s="206"/>
      <c r="G179" s="206"/>
      <c r="H179" s="206"/>
      <c r="I179" s="206"/>
      <c r="J179" s="206"/>
      <c r="K179" s="206"/>
      <c r="L179" s="206"/>
      <c r="M179" s="206"/>
      <c r="N179" s="206"/>
      <c r="O179" s="206"/>
      <c r="P179" s="206"/>
      <c r="Q179" s="206"/>
      <c r="R179" s="206"/>
      <c r="S179" s="206"/>
      <c r="T179" s="206"/>
      <c r="U179" s="206"/>
      <c r="V179" s="206"/>
      <c r="W179" s="206"/>
    </row>
    <row r="180" spans="2:23" ht="12.75" customHeight="1">
      <c r="B180" s="206"/>
      <c r="C180" s="206"/>
      <c r="D180" s="206"/>
      <c r="E180" s="206"/>
      <c r="F180" s="206"/>
      <c r="G180" s="206"/>
      <c r="H180" s="206"/>
      <c r="I180" s="206"/>
      <c r="J180" s="206"/>
      <c r="K180" s="206"/>
      <c r="L180" s="206"/>
      <c r="M180" s="206"/>
      <c r="N180" s="206"/>
      <c r="O180" s="206"/>
      <c r="P180" s="206"/>
      <c r="Q180" s="206"/>
      <c r="R180" s="206"/>
      <c r="S180" s="206"/>
      <c r="T180" s="206"/>
      <c r="U180" s="206"/>
      <c r="V180" s="206"/>
      <c r="W180" s="206"/>
    </row>
    <row r="181" spans="2:23" ht="12.75" customHeight="1">
      <c r="B181" s="206"/>
      <c r="C181" s="206"/>
      <c r="D181" s="206"/>
      <c r="E181" s="206"/>
      <c r="F181" s="206"/>
      <c r="G181" s="206"/>
      <c r="H181" s="206"/>
      <c r="I181" s="206"/>
      <c r="J181" s="206"/>
      <c r="K181" s="206"/>
      <c r="L181" s="206"/>
      <c r="M181" s="206"/>
      <c r="N181" s="206"/>
      <c r="O181" s="206"/>
      <c r="P181" s="206"/>
      <c r="Q181" s="206"/>
      <c r="R181" s="206"/>
      <c r="S181" s="206"/>
      <c r="T181" s="206"/>
      <c r="U181" s="206"/>
      <c r="V181" s="206"/>
      <c r="W181" s="206"/>
    </row>
    <row r="182" spans="2:23" ht="12.75" customHeight="1">
      <c r="B182" s="206"/>
      <c r="C182" s="206"/>
      <c r="D182" s="206"/>
      <c r="E182" s="206"/>
      <c r="F182" s="206"/>
      <c r="G182" s="206"/>
      <c r="H182" s="206"/>
      <c r="I182" s="206"/>
      <c r="J182" s="206"/>
      <c r="K182" s="206"/>
      <c r="L182" s="206"/>
      <c r="M182" s="206"/>
      <c r="N182" s="206"/>
      <c r="O182" s="206"/>
      <c r="P182" s="206"/>
      <c r="Q182" s="206"/>
      <c r="R182" s="206"/>
      <c r="S182" s="206"/>
      <c r="T182" s="206"/>
      <c r="U182" s="206"/>
      <c r="V182" s="206"/>
      <c r="W182" s="206"/>
    </row>
    <row r="183" spans="2:23" ht="12.75" customHeight="1">
      <c r="B183" s="206"/>
      <c r="C183" s="206"/>
      <c r="D183" s="206"/>
      <c r="E183" s="206"/>
      <c r="F183" s="206"/>
      <c r="G183" s="206"/>
      <c r="H183" s="206"/>
      <c r="I183" s="206"/>
      <c r="J183" s="206"/>
      <c r="K183" s="206"/>
      <c r="L183" s="206"/>
      <c r="M183" s="206"/>
      <c r="N183" s="206"/>
      <c r="O183" s="206"/>
      <c r="P183" s="206"/>
      <c r="Q183" s="206"/>
      <c r="R183" s="206"/>
      <c r="S183" s="206"/>
      <c r="T183" s="206"/>
      <c r="U183" s="206"/>
      <c r="V183" s="206"/>
      <c r="W183" s="206"/>
    </row>
    <row r="184" spans="2:23" ht="12.75" customHeight="1">
      <c r="B184" s="206"/>
      <c r="C184" s="206"/>
      <c r="D184" s="206"/>
      <c r="E184" s="206"/>
      <c r="F184" s="206"/>
      <c r="G184" s="206"/>
      <c r="H184" s="206"/>
      <c r="I184" s="206"/>
      <c r="J184" s="206"/>
      <c r="K184" s="206"/>
      <c r="L184" s="206"/>
      <c r="M184" s="206"/>
      <c r="N184" s="206"/>
      <c r="O184" s="206"/>
      <c r="P184" s="206"/>
      <c r="Q184" s="206"/>
      <c r="R184" s="206"/>
      <c r="S184" s="206"/>
      <c r="T184" s="206"/>
      <c r="U184" s="206"/>
      <c r="V184" s="206"/>
      <c r="W184" s="206"/>
    </row>
    <row r="185" spans="2:23" ht="12.75" customHeight="1">
      <c r="B185" s="206"/>
      <c r="C185" s="206"/>
      <c r="D185" s="206"/>
      <c r="E185" s="206"/>
      <c r="F185" s="206"/>
      <c r="G185" s="206"/>
      <c r="H185" s="206"/>
      <c r="I185" s="206"/>
      <c r="J185" s="206"/>
      <c r="K185" s="206"/>
      <c r="L185" s="206"/>
      <c r="M185" s="206"/>
      <c r="N185" s="206"/>
      <c r="O185" s="206"/>
      <c r="P185" s="206"/>
      <c r="Q185" s="206"/>
      <c r="R185" s="206"/>
      <c r="S185" s="206"/>
      <c r="T185" s="206"/>
      <c r="U185" s="206"/>
      <c r="V185" s="206"/>
      <c r="W185" s="206"/>
    </row>
    <row r="186" spans="2:23" ht="12.75" customHeight="1">
      <c r="B186" s="206"/>
      <c r="C186" s="206"/>
      <c r="D186" s="206"/>
      <c r="E186" s="206"/>
      <c r="F186" s="206"/>
      <c r="G186" s="206"/>
      <c r="H186" s="206"/>
      <c r="I186" s="206"/>
      <c r="J186" s="206"/>
      <c r="K186" s="206"/>
      <c r="L186" s="206"/>
      <c r="M186" s="206"/>
      <c r="N186" s="206"/>
      <c r="O186" s="206"/>
      <c r="P186" s="206"/>
      <c r="Q186" s="206"/>
      <c r="R186" s="206"/>
      <c r="S186" s="206"/>
      <c r="T186" s="206"/>
      <c r="U186" s="206"/>
      <c r="V186" s="206"/>
      <c r="W186" s="206"/>
    </row>
    <row r="187" spans="2:23" ht="12.75" customHeight="1">
      <c r="B187" s="206"/>
      <c r="C187" s="206"/>
      <c r="D187" s="206"/>
      <c r="E187" s="206"/>
      <c r="F187" s="206"/>
      <c r="G187" s="206"/>
      <c r="H187" s="206"/>
      <c r="I187" s="206"/>
      <c r="J187" s="206"/>
      <c r="K187" s="206"/>
      <c r="L187" s="206"/>
      <c r="M187" s="206"/>
      <c r="N187" s="206"/>
      <c r="O187" s="206"/>
      <c r="P187" s="206"/>
      <c r="Q187" s="206"/>
      <c r="R187" s="206"/>
      <c r="S187" s="206"/>
      <c r="T187" s="206"/>
      <c r="U187" s="206"/>
      <c r="V187" s="206"/>
      <c r="W187" s="206"/>
    </row>
    <row r="188" spans="2:23" ht="12.75" customHeight="1">
      <c r="B188" s="206"/>
      <c r="C188" s="206"/>
      <c r="D188" s="206"/>
      <c r="E188" s="206"/>
      <c r="F188" s="206"/>
      <c r="G188" s="206"/>
      <c r="H188" s="206"/>
      <c r="I188" s="206"/>
      <c r="J188" s="206"/>
      <c r="K188" s="206"/>
      <c r="L188" s="206"/>
      <c r="M188" s="206"/>
      <c r="N188" s="206"/>
      <c r="O188" s="206"/>
      <c r="P188" s="206"/>
      <c r="Q188" s="206"/>
      <c r="R188" s="206"/>
      <c r="S188" s="206"/>
      <c r="T188" s="206"/>
      <c r="U188" s="206"/>
      <c r="V188" s="206"/>
      <c r="W188" s="206"/>
    </row>
    <row r="189" spans="2:23" ht="12.75" customHeight="1">
      <c r="B189" s="206"/>
      <c r="C189" s="206"/>
      <c r="D189" s="206"/>
      <c r="E189" s="206"/>
      <c r="F189" s="206"/>
      <c r="G189" s="206"/>
      <c r="H189" s="206"/>
      <c r="I189" s="206"/>
      <c r="J189" s="206"/>
      <c r="K189" s="206"/>
      <c r="L189" s="206"/>
      <c r="M189" s="206"/>
      <c r="N189" s="206"/>
      <c r="O189" s="206"/>
      <c r="P189" s="206"/>
      <c r="Q189" s="206"/>
      <c r="R189" s="206"/>
      <c r="S189" s="206"/>
      <c r="T189" s="206"/>
      <c r="U189" s="206"/>
      <c r="V189" s="206"/>
      <c r="W189" s="206"/>
    </row>
    <row r="190" spans="2:23" ht="12.75" customHeight="1">
      <c r="B190" s="206"/>
      <c r="C190" s="206"/>
      <c r="D190" s="206"/>
      <c r="E190" s="206"/>
      <c r="F190" s="206"/>
      <c r="G190" s="206"/>
      <c r="H190" s="206"/>
      <c r="I190" s="206"/>
      <c r="J190" s="206"/>
      <c r="K190" s="206"/>
      <c r="L190" s="206"/>
      <c r="M190" s="206"/>
      <c r="N190" s="206"/>
      <c r="O190" s="206"/>
      <c r="P190" s="206"/>
      <c r="Q190" s="206"/>
      <c r="R190" s="206"/>
      <c r="S190" s="206"/>
      <c r="T190" s="206"/>
      <c r="U190" s="206"/>
      <c r="V190" s="206"/>
      <c r="W190" s="206"/>
    </row>
    <row r="191" spans="2:23" ht="12.75" customHeight="1">
      <c r="B191" s="206"/>
      <c r="C191" s="206"/>
      <c r="D191" s="206"/>
      <c r="E191" s="206"/>
      <c r="F191" s="206"/>
      <c r="G191" s="206"/>
      <c r="H191" s="206"/>
      <c r="I191" s="206"/>
      <c r="J191" s="206"/>
      <c r="K191" s="206"/>
      <c r="L191" s="206"/>
      <c r="M191" s="206"/>
      <c r="N191" s="206"/>
      <c r="O191" s="206"/>
      <c r="P191" s="206"/>
      <c r="Q191" s="206"/>
      <c r="R191" s="206"/>
      <c r="S191" s="206"/>
      <c r="T191" s="206"/>
      <c r="U191" s="206"/>
      <c r="V191" s="206"/>
      <c r="W191" s="206"/>
    </row>
    <row r="192" spans="2:23" ht="12.75" customHeight="1">
      <c r="B192" s="206"/>
      <c r="C192" s="206"/>
      <c r="D192" s="206"/>
      <c r="E192" s="206"/>
      <c r="F192" s="206"/>
      <c r="G192" s="206"/>
      <c r="H192" s="206"/>
      <c r="I192" s="206"/>
      <c r="J192" s="206"/>
      <c r="K192" s="206"/>
      <c r="L192" s="206"/>
      <c r="M192" s="206"/>
      <c r="N192" s="206"/>
      <c r="O192" s="206"/>
      <c r="P192" s="206"/>
      <c r="Q192" s="206"/>
      <c r="R192" s="206"/>
      <c r="S192" s="206"/>
      <c r="T192" s="206"/>
      <c r="U192" s="206"/>
      <c r="V192" s="206"/>
      <c r="W192" s="206"/>
    </row>
    <row r="193" spans="2:23" ht="12.75" customHeight="1">
      <c r="B193" s="206"/>
      <c r="C193" s="206"/>
      <c r="D193" s="206"/>
      <c r="E193" s="206"/>
      <c r="F193" s="206"/>
      <c r="G193" s="206"/>
      <c r="H193" s="206"/>
      <c r="I193" s="206"/>
      <c r="J193" s="206"/>
      <c r="K193" s="206"/>
      <c r="L193" s="206"/>
      <c r="M193" s="206"/>
      <c r="N193" s="206"/>
      <c r="O193" s="206"/>
      <c r="P193" s="206"/>
      <c r="Q193" s="206"/>
      <c r="R193" s="206"/>
      <c r="S193" s="206"/>
      <c r="T193" s="206"/>
      <c r="U193" s="206"/>
      <c r="V193" s="206"/>
      <c r="W193" s="206"/>
    </row>
    <row r="194" spans="2:23" ht="12.75" customHeight="1">
      <c r="B194" s="206"/>
      <c r="C194" s="206"/>
      <c r="D194" s="206"/>
      <c r="E194" s="206"/>
      <c r="F194" s="206"/>
      <c r="G194" s="206"/>
      <c r="H194" s="206"/>
      <c r="I194" s="206"/>
      <c r="J194" s="206"/>
      <c r="K194" s="206"/>
      <c r="L194" s="206"/>
      <c r="M194" s="206"/>
      <c r="N194" s="206"/>
      <c r="O194" s="206"/>
      <c r="P194" s="206"/>
      <c r="Q194" s="206"/>
      <c r="R194" s="206"/>
      <c r="S194" s="206"/>
      <c r="T194" s="206"/>
      <c r="U194" s="206"/>
      <c r="V194" s="206"/>
      <c r="W194" s="206"/>
    </row>
    <row r="195" spans="2:23" ht="12.75" customHeight="1">
      <c r="B195" s="206"/>
      <c r="C195" s="206"/>
      <c r="D195" s="206"/>
      <c r="E195" s="206"/>
      <c r="F195" s="206"/>
      <c r="G195" s="206"/>
      <c r="H195" s="206"/>
      <c r="I195" s="206"/>
      <c r="J195" s="206"/>
      <c r="K195" s="206"/>
      <c r="L195" s="206"/>
      <c r="M195" s="206"/>
      <c r="N195" s="206"/>
      <c r="O195" s="206"/>
      <c r="P195" s="206"/>
      <c r="Q195" s="206"/>
      <c r="R195" s="206"/>
      <c r="S195" s="206"/>
      <c r="T195" s="206"/>
      <c r="U195" s="206"/>
      <c r="V195" s="206"/>
      <c r="W195" s="206"/>
    </row>
    <row r="196" spans="2:23" ht="12.75" customHeight="1">
      <c r="B196" s="206"/>
      <c r="C196" s="206"/>
      <c r="D196" s="206"/>
      <c r="E196" s="206"/>
      <c r="F196" s="206"/>
      <c r="G196" s="206"/>
      <c r="H196" s="206"/>
      <c r="I196" s="206"/>
      <c r="J196" s="206"/>
      <c r="K196" s="206"/>
      <c r="L196" s="206"/>
      <c r="M196" s="206"/>
      <c r="N196" s="206"/>
      <c r="O196" s="206"/>
      <c r="P196" s="206"/>
      <c r="Q196" s="206"/>
      <c r="R196" s="206"/>
      <c r="S196" s="206"/>
      <c r="T196" s="206"/>
      <c r="U196" s="206"/>
      <c r="V196" s="206"/>
      <c r="W196" s="206"/>
    </row>
    <row r="197" spans="2:23" ht="12.75" customHeight="1">
      <c r="B197" s="206"/>
      <c r="C197" s="206"/>
      <c r="D197" s="206"/>
      <c r="E197" s="206"/>
      <c r="F197" s="206"/>
      <c r="G197" s="206"/>
      <c r="H197" s="206"/>
      <c r="I197" s="206"/>
      <c r="J197" s="206"/>
      <c r="K197" s="206"/>
      <c r="L197" s="206"/>
      <c r="M197" s="206"/>
      <c r="N197" s="206"/>
      <c r="O197" s="206"/>
      <c r="P197" s="206"/>
      <c r="Q197" s="206"/>
      <c r="R197" s="206"/>
      <c r="S197" s="206"/>
      <c r="T197" s="206"/>
      <c r="U197" s="206"/>
      <c r="V197" s="206"/>
      <c r="W197" s="206"/>
    </row>
    <row r="198" spans="2:23" ht="12.75" customHeight="1">
      <c r="B198" s="206"/>
      <c r="C198" s="206"/>
      <c r="D198" s="206"/>
      <c r="E198" s="206"/>
      <c r="F198" s="206"/>
      <c r="G198" s="206"/>
      <c r="H198" s="206"/>
      <c r="I198" s="206"/>
      <c r="J198" s="206"/>
      <c r="K198" s="206"/>
      <c r="L198" s="206"/>
      <c r="M198" s="206"/>
      <c r="N198" s="206"/>
      <c r="O198" s="206"/>
      <c r="P198" s="206"/>
      <c r="Q198" s="206"/>
      <c r="R198" s="206"/>
      <c r="S198" s="206"/>
      <c r="T198" s="206"/>
      <c r="U198" s="206"/>
      <c r="V198" s="206"/>
      <c r="W198" s="206"/>
    </row>
    <row r="199" spans="2:23" ht="12.75" customHeight="1">
      <c r="B199" s="206"/>
      <c r="C199" s="206"/>
      <c r="D199" s="206"/>
      <c r="E199" s="206"/>
      <c r="F199" s="206"/>
      <c r="G199" s="206"/>
      <c r="H199" s="206"/>
      <c r="I199" s="206"/>
      <c r="J199" s="206"/>
      <c r="K199" s="206"/>
      <c r="L199" s="206"/>
      <c r="M199" s="206"/>
      <c r="N199" s="206"/>
      <c r="O199" s="206"/>
      <c r="P199" s="206"/>
      <c r="Q199" s="206"/>
      <c r="R199" s="206"/>
      <c r="S199" s="206"/>
      <c r="T199" s="206"/>
      <c r="U199" s="206"/>
      <c r="V199" s="206"/>
      <c r="W199" s="206"/>
    </row>
    <row r="200" spans="2:23" ht="12.75" customHeight="1">
      <c r="B200" s="206"/>
      <c r="C200" s="206"/>
      <c r="D200" s="206"/>
      <c r="E200" s="206"/>
      <c r="F200" s="206"/>
      <c r="G200" s="206"/>
      <c r="H200" s="206"/>
      <c r="I200" s="206"/>
      <c r="J200" s="206"/>
      <c r="K200" s="206"/>
      <c r="L200" s="206"/>
      <c r="M200" s="206"/>
      <c r="N200" s="206"/>
      <c r="O200" s="206"/>
      <c r="P200" s="206"/>
      <c r="Q200" s="206"/>
      <c r="R200" s="206"/>
      <c r="S200" s="206"/>
      <c r="T200" s="206"/>
      <c r="U200" s="206"/>
      <c r="V200" s="206"/>
      <c r="W200" s="206"/>
    </row>
    <row r="201" spans="2:23" ht="12.75" customHeight="1">
      <c r="B201" s="206"/>
      <c r="C201" s="206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  <c r="O201" s="206"/>
      <c r="P201" s="206"/>
      <c r="Q201" s="206"/>
      <c r="R201" s="206"/>
      <c r="S201" s="206"/>
      <c r="T201" s="206"/>
      <c r="U201" s="206"/>
      <c r="V201" s="206"/>
      <c r="W201" s="206"/>
    </row>
    <row r="202" spans="2:23" ht="12.75" customHeight="1">
      <c r="B202" s="206"/>
      <c r="C202" s="206"/>
      <c r="D202" s="206"/>
      <c r="E202" s="206"/>
      <c r="F202" s="206"/>
      <c r="G202" s="206"/>
      <c r="H202" s="206"/>
      <c r="I202" s="206"/>
      <c r="J202" s="206"/>
      <c r="K202" s="206"/>
      <c r="L202" s="206"/>
      <c r="M202" s="206"/>
      <c r="N202" s="206"/>
      <c r="O202" s="206"/>
      <c r="P202" s="206"/>
      <c r="Q202" s="206"/>
      <c r="R202" s="206"/>
      <c r="S202" s="206"/>
      <c r="T202" s="206"/>
      <c r="U202" s="206"/>
      <c r="V202" s="206"/>
      <c r="W202" s="206"/>
    </row>
    <row r="203" spans="2:23" ht="12.75" customHeight="1">
      <c r="B203" s="206"/>
      <c r="C203" s="206"/>
      <c r="D203" s="206"/>
      <c r="E203" s="206"/>
      <c r="F203" s="206"/>
      <c r="G203" s="206"/>
      <c r="H203" s="206"/>
      <c r="I203" s="206"/>
      <c r="J203" s="206"/>
      <c r="K203" s="206"/>
      <c r="L203" s="206"/>
      <c r="M203" s="206"/>
      <c r="N203" s="206"/>
      <c r="O203" s="206"/>
      <c r="P203" s="206"/>
      <c r="Q203" s="206"/>
      <c r="R203" s="206"/>
      <c r="S203" s="206"/>
      <c r="T203" s="206"/>
      <c r="U203" s="206"/>
      <c r="V203" s="206"/>
      <c r="W203" s="206"/>
    </row>
    <row r="204" spans="2:23" ht="12.75" customHeight="1">
      <c r="B204" s="206"/>
      <c r="C204" s="206"/>
      <c r="D204" s="206"/>
      <c r="E204" s="206"/>
      <c r="F204" s="206"/>
      <c r="G204" s="206"/>
      <c r="H204" s="206"/>
      <c r="I204" s="206"/>
      <c r="J204" s="206"/>
      <c r="K204" s="206"/>
      <c r="L204" s="206"/>
      <c r="M204" s="206"/>
      <c r="N204" s="206"/>
      <c r="O204" s="206"/>
      <c r="P204" s="206"/>
      <c r="Q204" s="206"/>
      <c r="R204" s="206"/>
      <c r="S204" s="206"/>
      <c r="T204" s="206"/>
      <c r="U204" s="206"/>
      <c r="V204" s="206"/>
      <c r="W204" s="206"/>
    </row>
    <row r="205" spans="2:23" ht="12.75" customHeight="1">
      <c r="B205" s="206"/>
      <c r="C205" s="206"/>
      <c r="D205" s="206"/>
      <c r="E205" s="206"/>
      <c r="F205" s="206"/>
      <c r="G205" s="206"/>
      <c r="H205" s="206"/>
      <c r="I205" s="206"/>
      <c r="J205" s="206"/>
      <c r="K205" s="206"/>
      <c r="L205" s="206"/>
      <c r="M205" s="206"/>
      <c r="N205" s="206"/>
      <c r="O205" s="206"/>
      <c r="P205" s="206"/>
      <c r="Q205" s="206"/>
      <c r="R205" s="206"/>
      <c r="S205" s="206"/>
      <c r="T205" s="206"/>
      <c r="U205" s="206"/>
      <c r="V205" s="206"/>
      <c r="W205" s="206"/>
    </row>
    <row r="206" spans="2:23" ht="12.75" customHeight="1">
      <c r="B206" s="206"/>
      <c r="C206" s="206"/>
      <c r="D206" s="206"/>
      <c r="E206" s="206"/>
      <c r="F206" s="206"/>
      <c r="G206" s="206"/>
      <c r="H206" s="206"/>
      <c r="I206" s="206"/>
      <c r="J206" s="206"/>
      <c r="K206" s="206"/>
      <c r="L206" s="206"/>
      <c r="M206" s="206"/>
      <c r="N206" s="206"/>
      <c r="O206" s="206"/>
      <c r="P206" s="206"/>
      <c r="Q206" s="206"/>
      <c r="R206" s="206"/>
      <c r="S206" s="206"/>
      <c r="T206" s="206"/>
      <c r="U206" s="206"/>
      <c r="V206" s="206"/>
      <c r="W206" s="206"/>
    </row>
    <row r="207" spans="2:23" ht="12.75" customHeight="1">
      <c r="B207" s="206"/>
      <c r="C207" s="206"/>
      <c r="D207" s="206"/>
      <c r="E207" s="206"/>
      <c r="F207" s="206"/>
      <c r="G207" s="206"/>
      <c r="H207" s="206"/>
      <c r="I207" s="206"/>
      <c r="J207" s="206"/>
      <c r="K207" s="206"/>
      <c r="L207" s="206"/>
      <c r="M207" s="206"/>
      <c r="N207" s="206"/>
      <c r="O207" s="206"/>
      <c r="P207" s="206"/>
      <c r="Q207" s="206"/>
      <c r="R207" s="206"/>
      <c r="S207" s="206"/>
      <c r="T207" s="206"/>
      <c r="U207" s="206"/>
      <c r="V207" s="206"/>
      <c r="W207" s="206"/>
    </row>
    <row r="208" spans="2:23" ht="12.75" customHeight="1">
      <c r="B208" s="206"/>
      <c r="C208" s="206"/>
      <c r="D208" s="206"/>
      <c r="E208" s="206"/>
      <c r="F208" s="206"/>
      <c r="G208" s="206"/>
      <c r="H208" s="206"/>
      <c r="I208" s="206"/>
      <c r="J208" s="206"/>
      <c r="K208" s="206"/>
      <c r="L208" s="206"/>
      <c r="M208" s="206"/>
      <c r="N208" s="206"/>
      <c r="O208" s="206"/>
      <c r="P208" s="206"/>
      <c r="Q208" s="206"/>
      <c r="R208" s="206"/>
      <c r="S208" s="206"/>
      <c r="T208" s="206"/>
      <c r="U208" s="206"/>
      <c r="V208" s="206"/>
      <c r="W208" s="206"/>
    </row>
    <row r="209" spans="2:23" ht="12.75" customHeight="1">
      <c r="B209" s="206"/>
      <c r="C209" s="206"/>
      <c r="D209" s="206"/>
      <c r="E209" s="206"/>
      <c r="F209" s="206"/>
      <c r="G209" s="206"/>
      <c r="H209" s="206"/>
      <c r="I209" s="206"/>
      <c r="J209" s="206"/>
      <c r="K209" s="206"/>
      <c r="L209" s="206"/>
      <c r="M209" s="206"/>
      <c r="N209" s="206"/>
      <c r="O209" s="206"/>
      <c r="P209" s="206"/>
      <c r="Q209" s="206"/>
      <c r="R209" s="206"/>
      <c r="S209" s="206"/>
      <c r="T209" s="206"/>
      <c r="U209" s="206"/>
      <c r="V209" s="206"/>
      <c r="W209" s="206"/>
    </row>
    <row r="210" spans="2:23" ht="12.75" customHeight="1">
      <c r="B210" s="206"/>
      <c r="C210" s="206"/>
      <c r="D210" s="206"/>
      <c r="E210" s="206"/>
      <c r="F210" s="206"/>
      <c r="G210" s="206"/>
      <c r="H210" s="206"/>
      <c r="I210" s="206"/>
      <c r="J210" s="206"/>
      <c r="K210" s="206"/>
      <c r="L210" s="206"/>
      <c r="M210" s="206"/>
      <c r="N210" s="206"/>
      <c r="O210" s="206"/>
      <c r="P210" s="206"/>
      <c r="Q210" s="206"/>
      <c r="R210" s="206"/>
      <c r="S210" s="206"/>
      <c r="T210" s="206"/>
      <c r="U210" s="206"/>
      <c r="V210" s="206"/>
      <c r="W210" s="206"/>
    </row>
    <row r="211" spans="2:23" ht="12.75" customHeight="1">
      <c r="B211" s="206"/>
      <c r="C211" s="206"/>
      <c r="D211" s="206"/>
      <c r="E211" s="206"/>
      <c r="F211" s="206"/>
      <c r="G211" s="206"/>
      <c r="H211" s="206"/>
      <c r="I211" s="206"/>
      <c r="J211" s="206"/>
      <c r="K211" s="206"/>
      <c r="L211" s="206"/>
      <c r="M211" s="206"/>
      <c r="N211" s="206"/>
      <c r="O211" s="206"/>
      <c r="P211" s="206"/>
      <c r="Q211" s="206"/>
      <c r="R211" s="206"/>
      <c r="S211" s="206"/>
      <c r="T211" s="206"/>
      <c r="U211" s="206"/>
      <c r="V211" s="206"/>
      <c r="W211" s="206"/>
    </row>
    <row r="212" spans="2:23" ht="12.75" customHeight="1">
      <c r="B212" s="206"/>
      <c r="C212" s="206"/>
      <c r="D212" s="206"/>
      <c r="E212" s="206"/>
      <c r="F212" s="206"/>
      <c r="G212" s="206"/>
      <c r="H212" s="206"/>
      <c r="I212" s="206"/>
      <c r="J212" s="206"/>
      <c r="K212" s="206"/>
      <c r="L212" s="206"/>
      <c r="M212" s="206"/>
      <c r="N212" s="206"/>
      <c r="O212" s="206"/>
      <c r="P212" s="206"/>
      <c r="Q212" s="206"/>
      <c r="R212" s="206"/>
      <c r="S212" s="206"/>
      <c r="T212" s="206"/>
      <c r="U212" s="206"/>
      <c r="V212" s="206"/>
      <c r="W212" s="206"/>
    </row>
    <row r="213" spans="2:23" ht="12.75" customHeight="1">
      <c r="B213" s="206"/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  <c r="O213" s="206"/>
      <c r="P213" s="206"/>
      <c r="Q213" s="206"/>
      <c r="R213" s="206"/>
      <c r="S213" s="206"/>
      <c r="T213" s="206"/>
      <c r="U213" s="206"/>
      <c r="V213" s="206"/>
      <c r="W213" s="206"/>
    </row>
    <row r="214" spans="2:23" ht="12.75" customHeight="1">
      <c r="B214" s="206"/>
      <c r="C214" s="206"/>
      <c r="D214" s="206"/>
      <c r="E214" s="206"/>
      <c r="F214" s="206"/>
      <c r="G214" s="206"/>
      <c r="H214" s="206"/>
      <c r="I214" s="206"/>
      <c r="J214" s="206"/>
      <c r="K214" s="206"/>
      <c r="L214" s="206"/>
      <c r="M214" s="206"/>
      <c r="N214" s="206"/>
      <c r="O214" s="206"/>
      <c r="P214" s="206"/>
      <c r="Q214" s="206"/>
      <c r="R214" s="206"/>
      <c r="S214" s="206"/>
      <c r="T214" s="206"/>
      <c r="U214" s="206"/>
      <c r="V214" s="206"/>
      <c r="W214" s="206"/>
    </row>
    <row r="215" spans="2:23" ht="12.75" customHeight="1">
      <c r="B215" s="206"/>
      <c r="C215" s="206"/>
      <c r="D215" s="206"/>
      <c r="E215" s="206"/>
      <c r="F215" s="206"/>
      <c r="G215" s="206"/>
      <c r="H215" s="206"/>
      <c r="I215" s="206"/>
      <c r="J215" s="206"/>
      <c r="K215" s="206"/>
      <c r="L215" s="206"/>
      <c r="M215" s="206"/>
      <c r="N215" s="206"/>
      <c r="O215" s="206"/>
      <c r="P215" s="206"/>
      <c r="Q215" s="206"/>
      <c r="R215" s="206"/>
      <c r="S215" s="206"/>
      <c r="T215" s="206"/>
      <c r="U215" s="206"/>
      <c r="V215" s="206"/>
      <c r="W215" s="206"/>
    </row>
    <row r="216" spans="2:23" ht="12.75" customHeight="1">
      <c r="B216" s="206"/>
      <c r="C216" s="206"/>
      <c r="D216" s="206"/>
      <c r="E216" s="206"/>
      <c r="F216" s="206"/>
      <c r="G216" s="206"/>
      <c r="H216" s="206"/>
      <c r="I216" s="206"/>
      <c r="J216" s="206"/>
      <c r="K216" s="206"/>
      <c r="L216" s="206"/>
      <c r="M216" s="206"/>
      <c r="N216" s="206"/>
      <c r="O216" s="206"/>
      <c r="P216" s="206"/>
      <c r="Q216" s="206"/>
      <c r="R216" s="206"/>
      <c r="S216" s="206"/>
      <c r="T216" s="206"/>
      <c r="U216" s="206"/>
      <c r="V216" s="206"/>
      <c r="W216" s="206"/>
    </row>
    <row r="217" spans="2:23" ht="12.75" customHeight="1">
      <c r="B217" s="206"/>
      <c r="C217" s="206"/>
      <c r="D217" s="206"/>
      <c r="E217" s="206"/>
      <c r="F217" s="206"/>
      <c r="G217" s="206"/>
      <c r="H217" s="206"/>
      <c r="I217" s="206"/>
      <c r="J217" s="206"/>
      <c r="K217" s="206"/>
      <c r="L217" s="206"/>
      <c r="M217" s="206"/>
      <c r="N217" s="206"/>
      <c r="O217" s="206"/>
      <c r="P217" s="206"/>
      <c r="Q217" s="206"/>
      <c r="R217" s="206"/>
      <c r="S217" s="206"/>
      <c r="T217" s="206"/>
      <c r="U217" s="206"/>
      <c r="V217" s="206"/>
      <c r="W217" s="206"/>
    </row>
    <row r="218" spans="2:23" ht="12.75" customHeight="1">
      <c r="B218" s="206"/>
      <c r="C218" s="206"/>
      <c r="D218" s="206"/>
      <c r="E218" s="206"/>
      <c r="F218" s="206"/>
      <c r="G218" s="206"/>
      <c r="H218" s="206"/>
      <c r="I218" s="206"/>
      <c r="J218" s="206"/>
      <c r="K218" s="206"/>
      <c r="L218" s="206"/>
      <c r="M218" s="206"/>
      <c r="N218" s="206"/>
      <c r="O218" s="206"/>
      <c r="P218" s="206"/>
      <c r="Q218" s="206"/>
      <c r="R218" s="206"/>
      <c r="S218" s="206"/>
      <c r="T218" s="206"/>
      <c r="U218" s="206"/>
      <c r="V218" s="206"/>
      <c r="W218" s="206"/>
    </row>
    <row r="219" spans="2:23" ht="12.75" customHeight="1">
      <c r="B219" s="206"/>
      <c r="C219" s="206"/>
      <c r="D219" s="206"/>
      <c r="E219" s="206"/>
      <c r="F219" s="206"/>
      <c r="G219" s="206"/>
      <c r="H219" s="206"/>
      <c r="I219" s="206"/>
      <c r="J219" s="206"/>
      <c r="K219" s="206"/>
      <c r="L219" s="206"/>
      <c r="M219" s="206"/>
      <c r="N219" s="206"/>
      <c r="O219" s="206"/>
      <c r="P219" s="206"/>
      <c r="Q219" s="206"/>
      <c r="R219" s="206"/>
      <c r="S219" s="206"/>
      <c r="T219" s="206"/>
      <c r="U219" s="206"/>
      <c r="V219" s="206"/>
      <c r="W219" s="206"/>
    </row>
    <row r="220" spans="2:23" ht="12.75" customHeight="1">
      <c r="B220" s="206"/>
      <c r="C220" s="206"/>
      <c r="D220" s="206"/>
      <c r="E220" s="206"/>
      <c r="F220" s="206"/>
      <c r="G220" s="206"/>
      <c r="H220" s="206"/>
      <c r="I220" s="206"/>
      <c r="J220" s="206"/>
      <c r="K220" s="206"/>
      <c r="L220" s="206"/>
      <c r="M220" s="206"/>
      <c r="N220" s="206"/>
      <c r="O220" s="206"/>
      <c r="P220" s="206"/>
      <c r="Q220" s="206"/>
      <c r="R220" s="206"/>
      <c r="S220" s="206"/>
      <c r="T220" s="206"/>
      <c r="U220" s="206"/>
      <c r="V220" s="206"/>
      <c r="W220" s="206"/>
    </row>
    <row r="221" spans="2:23" ht="12.75" customHeight="1">
      <c r="B221" s="206"/>
      <c r="C221" s="206"/>
      <c r="D221" s="206"/>
      <c r="E221" s="206"/>
      <c r="F221" s="206"/>
      <c r="G221" s="206"/>
      <c r="H221" s="206"/>
      <c r="I221" s="206"/>
      <c r="J221" s="206"/>
      <c r="K221" s="206"/>
      <c r="L221" s="206"/>
      <c r="M221" s="206"/>
      <c r="N221" s="206"/>
      <c r="O221" s="206"/>
      <c r="P221" s="206"/>
      <c r="Q221" s="206"/>
      <c r="R221" s="206"/>
      <c r="S221" s="206"/>
      <c r="T221" s="206"/>
      <c r="U221" s="206"/>
      <c r="V221" s="206"/>
      <c r="W221" s="206"/>
    </row>
    <row r="222" spans="2:23" ht="12.75" customHeight="1">
      <c r="B222" s="206"/>
      <c r="C222" s="206"/>
      <c r="D222" s="206"/>
      <c r="E222" s="206"/>
      <c r="F222" s="206"/>
      <c r="G222" s="206"/>
      <c r="H222" s="206"/>
      <c r="I222" s="206"/>
      <c r="J222" s="206"/>
      <c r="K222" s="206"/>
      <c r="L222" s="206"/>
      <c r="M222" s="206"/>
      <c r="N222" s="206"/>
      <c r="O222" s="206"/>
      <c r="P222" s="206"/>
      <c r="Q222" s="206"/>
      <c r="R222" s="206"/>
      <c r="S222" s="206"/>
      <c r="T222" s="206"/>
      <c r="U222" s="206"/>
      <c r="V222" s="206"/>
      <c r="W222" s="206"/>
    </row>
    <row r="223" spans="2:23" ht="12.75" customHeight="1">
      <c r="B223" s="206"/>
      <c r="C223" s="206"/>
      <c r="D223" s="206"/>
      <c r="E223" s="206"/>
      <c r="F223" s="206"/>
      <c r="G223" s="206"/>
      <c r="H223" s="206"/>
      <c r="I223" s="206"/>
      <c r="J223" s="206"/>
      <c r="K223" s="206"/>
      <c r="L223" s="206"/>
      <c r="M223" s="206"/>
      <c r="N223" s="206"/>
      <c r="O223" s="206"/>
      <c r="P223" s="206"/>
      <c r="Q223" s="206"/>
      <c r="R223" s="206"/>
      <c r="S223" s="206"/>
      <c r="T223" s="206"/>
      <c r="U223" s="206"/>
      <c r="V223" s="206"/>
      <c r="W223" s="206"/>
    </row>
    <row r="224" spans="2:23" ht="12.75" customHeight="1">
      <c r="B224" s="206"/>
      <c r="C224" s="206"/>
      <c r="D224" s="206"/>
      <c r="E224" s="206"/>
      <c r="F224" s="206"/>
      <c r="G224" s="206"/>
      <c r="H224" s="206"/>
      <c r="I224" s="206"/>
      <c r="J224" s="206"/>
      <c r="K224" s="206"/>
      <c r="L224" s="206"/>
      <c r="M224" s="206"/>
      <c r="N224" s="206"/>
      <c r="O224" s="206"/>
      <c r="P224" s="206"/>
      <c r="Q224" s="206"/>
      <c r="R224" s="206"/>
      <c r="S224" s="206"/>
      <c r="T224" s="206"/>
      <c r="U224" s="206"/>
      <c r="V224" s="206"/>
      <c r="W224" s="206"/>
    </row>
    <row r="225" spans="2:23" ht="12.75" customHeight="1">
      <c r="B225" s="206"/>
      <c r="C225" s="206"/>
      <c r="D225" s="206"/>
      <c r="E225" s="206"/>
      <c r="F225" s="206"/>
      <c r="G225" s="206"/>
      <c r="H225" s="206"/>
      <c r="I225" s="206"/>
      <c r="J225" s="206"/>
      <c r="K225" s="206"/>
      <c r="L225" s="206"/>
      <c r="M225" s="206"/>
      <c r="N225" s="206"/>
      <c r="O225" s="206"/>
      <c r="P225" s="206"/>
      <c r="Q225" s="206"/>
      <c r="R225" s="206"/>
      <c r="S225" s="206"/>
      <c r="T225" s="206"/>
      <c r="U225" s="206"/>
      <c r="V225" s="206"/>
      <c r="W225" s="206"/>
    </row>
    <row r="226" spans="2:23" ht="12.75" customHeight="1">
      <c r="B226" s="206"/>
      <c r="C226" s="206"/>
      <c r="D226" s="206"/>
      <c r="E226" s="206"/>
      <c r="F226" s="206"/>
      <c r="G226" s="206"/>
      <c r="H226" s="206"/>
      <c r="I226" s="206"/>
      <c r="J226" s="206"/>
      <c r="K226" s="206"/>
      <c r="L226" s="206"/>
      <c r="M226" s="206"/>
      <c r="N226" s="206"/>
      <c r="O226" s="206"/>
      <c r="P226" s="206"/>
      <c r="Q226" s="206"/>
      <c r="R226" s="206"/>
      <c r="S226" s="206"/>
      <c r="T226" s="206"/>
      <c r="U226" s="206"/>
      <c r="V226" s="206"/>
      <c r="W226" s="206"/>
    </row>
    <row r="227" spans="2:23" ht="12.75" customHeight="1">
      <c r="B227" s="206"/>
      <c r="C227" s="206"/>
      <c r="D227" s="206"/>
      <c r="E227" s="206"/>
      <c r="F227" s="206"/>
      <c r="G227" s="206"/>
      <c r="H227" s="206"/>
      <c r="I227" s="206"/>
      <c r="J227" s="206"/>
      <c r="K227" s="206"/>
      <c r="L227" s="206"/>
      <c r="M227" s="206"/>
      <c r="N227" s="206"/>
      <c r="O227" s="206"/>
      <c r="P227" s="206"/>
      <c r="Q227" s="206"/>
      <c r="R227" s="206"/>
      <c r="S227" s="206"/>
      <c r="T227" s="206"/>
      <c r="U227" s="206"/>
      <c r="V227" s="206"/>
      <c r="W227" s="206"/>
    </row>
    <row r="228" spans="2:23" ht="12.75" customHeight="1">
      <c r="B228" s="206"/>
      <c r="C228" s="206"/>
      <c r="D228" s="206"/>
      <c r="E228" s="206"/>
      <c r="F228" s="206"/>
      <c r="G228" s="206"/>
      <c r="H228" s="206"/>
      <c r="I228" s="206"/>
      <c r="J228" s="206"/>
      <c r="K228" s="206"/>
      <c r="L228" s="206"/>
      <c r="M228" s="206"/>
      <c r="N228" s="206"/>
      <c r="O228" s="206"/>
      <c r="P228" s="206"/>
      <c r="Q228" s="206"/>
      <c r="R228" s="206"/>
      <c r="S228" s="206"/>
      <c r="T228" s="206"/>
      <c r="U228" s="206"/>
      <c r="V228" s="206"/>
      <c r="W228" s="206"/>
    </row>
    <row r="229" spans="2:23" ht="12.75" customHeight="1">
      <c r="B229" s="206"/>
      <c r="C229" s="206"/>
      <c r="D229" s="206"/>
      <c r="E229" s="206"/>
      <c r="F229" s="206"/>
      <c r="G229" s="206"/>
      <c r="H229" s="206"/>
      <c r="I229" s="206"/>
      <c r="J229" s="206"/>
      <c r="K229" s="206"/>
      <c r="L229" s="206"/>
      <c r="M229" s="206"/>
      <c r="N229" s="206"/>
      <c r="O229" s="206"/>
      <c r="P229" s="206"/>
      <c r="Q229" s="206"/>
      <c r="R229" s="206"/>
      <c r="S229" s="206"/>
      <c r="T229" s="206"/>
      <c r="U229" s="206"/>
      <c r="V229" s="206"/>
      <c r="W229" s="206"/>
    </row>
    <row r="230" spans="2:23" ht="12.75" customHeight="1">
      <c r="B230" s="206"/>
      <c r="C230" s="206"/>
      <c r="D230" s="206"/>
      <c r="E230" s="206"/>
      <c r="F230" s="206"/>
      <c r="G230" s="206"/>
      <c r="H230" s="206"/>
      <c r="I230" s="206"/>
      <c r="J230" s="206"/>
      <c r="K230" s="206"/>
      <c r="L230" s="206"/>
      <c r="M230" s="206"/>
      <c r="N230" s="206"/>
      <c r="O230" s="206"/>
      <c r="P230" s="206"/>
      <c r="Q230" s="206"/>
      <c r="R230" s="206"/>
      <c r="S230" s="206"/>
      <c r="T230" s="206"/>
      <c r="U230" s="206"/>
      <c r="V230" s="206"/>
      <c r="W230" s="206"/>
    </row>
    <row r="231" spans="2:23" ht="12.75" customHeight="1">
      <c r="B231" s="206"/>
      <c r="C231" s="206"/>
      <c r="D231" s="206"/>
      <c r="E231" s="206"/>
      <c r="F231" s="206"/>
      <c r="G231" s="206"/>
      <c r="H231" s="206"/>
      <c r="I231" s="206"/>
      <c r="J231" s="206"/>
      <c r="K231" s="206"/>
      <c r="L231" s="206"/>
      <c r="M231" s="206"/>
      <c r="N231" s="206"/>
      <c r="O231" s="206"/>
      <c r="P231" s="206"/>
      <c r="Q231" s="206"/>
      <c r="R231" s="206"/>
      <c r="S231" s="206"/>
      <c r="T231" s="206"/>
      <c r="U231" s="206"/>
      <c r="V231" s="206"/>
      <c r="W231" s="206"/>
    </row>
    <row r="232" spans="2:23" ht="12.75" customHeight="1">
      <c r="B232" s="206"/>
      <c r="C232" s="206"/>
      <c r="D232" s="206"/>
      <c r="E232" s="206"/>
      <c r="F232" s="206"/>
      <c r="G232" s="206"/>
      <c r="H232" s="206"/>
      <c r="I232" s="206"/>
      <c r="J232" s="206"/>
      <c r="K232" s="206"/>
      <c r="L232" s="206"/>
      <c r="M232" s="206"/>
      <c r="N232" s="206"/>
      <c r="O232" s="206"/>
      <c r="P232" s="206"/>
      <c r="Q232" s="206"/>
      <c r="R232" s="206"/>
      <c r="S232" s="206"/>
      <c r="T232" s="206"/>
      <c r="U232" s="206"/>
      <c r="V232" s="206"/>
      <c r="W232" s="206"/>
    </row>
    <row r="233" spans="2:23" ht="12.75" customHeight="1">
      <c r="B233" s="206"/>
      <c r="C233" s="206"/>
      <c r="D233" s="206"/>
      <c r="E233" s="206"/>
      <c r="F233" s="206"/>
      <c r="G233" s="206"/>
      <c r="H233" s="206"/>
      <c r="I233" s="206"/>
      <c r="J233" s="206"/>
      <c r="K233" s="206"/>
      <c r="L233" s="206"/>
      <c r="M233" s="206"/>
      <c r="N233" s="206"/>
      <c r="O233" s="206"/>
      <c r="P233" s="206"/>
      <c r="Q233" s="206"/>
      <c r="R233" s="206"/>
      <c r="S233" s="206"/>
      <c r="T233" s="206"/>
      <c r="U233" s="206"/>
      <c r="V233" s="206"/>
      <c r="W233" s="206"/>
    </row>
    <row r="234" spans="2:23" ht="12.75" customHeight="1">
      <c r="B234" s="206"/>
      <c r="C234" s="206"/>
      <c r="D234" s="206"/>
      <c r="E234" s="206"/>
      <c r="F234" s="206"/>
      <c r="G234" s="206"/>
      <c r="H234" s="206"/>
      <c r="I234" s="206"/>
      <c r="J234" s="206"/>
      <c r="K234" s="206"/>
      <c r="L234" s="206"/>
      <c r="M234" s="206"/>
      <c r="N234" s="206"/>
      <c r="O234" s="206"/>
      <c r="P234" s="206"/>
      <c r="Q234" s="206"/>
      <c r="R234" s="206"/>
      <c r="S234" s="206"/>
      <c r="T234" s="206"/>
      <c r="U234" s="206"/>
      <c r="V234" s="206"/>
      <c r="W234" s="206"/>
    </row>
    <row r="235" spans="2:23" ht="12.75" customHeight="1">
      <c r="B235" s="206"/>
      <c r="C235" s="206"/>
      <c r="D235" s="206"/>
      <c r="E235" s="206"/>
      <c r="F235" s="206"/>
      <c r="G235" s="206"/>
      <c r="H235" s="206"/>
      <c r="I235" s="206"/>
      <c r="J235" s="206"/>
      <c r="K235" s="206"/>
      <c r="L235" s="206"/>
      <c r="M235" s="206"/>
      <c r="N235" s="206"/>
      <c r="O235" s="206"/>
      <c r="P235" s="206"/>
      <c r="Q235" s="206"/>
      <c r="R235" s="206"/>
      <c r="S235" s="206"/>
      <c r="T235" s="206"/>
      <c r="U235" s="206"/>
      <c r="V235" s="206"/>
      <c r="W235" s="206"/>
    </row>
    <row r="236" spans="2:23" ht="12.75" customHeight="1">
      <c r="B236" s="206"/>
      <c r="C236" s="206"/>
      <c r="D236" s="206"/>
      <c r="E236" s="206"/>
      <c r="F236" s="206"/>
      <c r="G236" s="206"/>
      <c r="H236" s="206"/>
      <c r="I236" s="206"/>
      <c r="J236" s="206"/>
      <c r="K236" s="206"/>
      <c r="L236" s="206"/>
      <c r="M236" s="206"/>
      <c r="N236" s="206"/>
      <c r="O236" s="206"/>
      <c r="P236" s="206"/>
      <c r="Q236" s="206"/>
      <c r="R236" s="206"/>
      <c r="S236" s="206"/>
      <c r="T236" s="206"/>
      <c r="U236" s="206"/>
      <c r="V236" s="206"/>
      <c r="W236" s="206"/>
    </row>
    <row r="237" spans="2:23" ht="12.75" customHeight="1">
      <c r="B237" s="206"/>
      <c r="C237" s="206"/>
      <c r="D237" s="206"/>
      <c r="E237" s="206"/>
      <c r="F237" s="206"/>
      <c r="G237" s="206"/>
      <c r="H237" s="206"/>
      <c r="I237" s="206"/>
      <c r="J237" s="206"/>
      <c r="K237" s="206"/>
      <c r="L237" s="206"/>
      <c r="M237" s="206"/>
      <c r="N237" s="206"/>
      <c r="O237" s="206"/>
      <c r="P237" s="206"/>
      <c r="Q237" s="206"/>
      <c r="R237" s="206"/>
      <c r="S237" s="206"/>
      <c r="T237" s="206"/>
      <c r="U237" s="206"/>
      <c r="V237" s="206"/>
      <c r="W237" s="206"/>
    </row>
    <row r="238" spans="2:23" ht="12.75" customHeight="1">
      <c r="B238" s="206"/>
      <c r="C238" s="206"/>
      <c r="D238" s="206"/>
      <c r="E238" s="206"/>
      <c r="F238" s="206"/>
      <c r="G238" s="206"/>
      <c r="H238" s="206"/>
      <c r="I238" s="206"/>
      <c r="J238" s="206"/>
      <c r="K238" s="206"/>
      <c r="L238" s="206"/>
      <c r="M238" s="206"/>
      <c r="N238" s="206"/>
      <c r="O238" s="206"/>
      <c r="P238" s="206"/>
      <c r="Q238" s="206"/>
      <c r="R238" s="206"/>
      <c r="S238" s="206"/>
      <c r="T238" s="206"/>
      <c r="U238" s="206"/>
      <c r="V238" s="206"/>
      <c r="W238" s="206"/>
    </row>
    <row r="239" spans="2:23" ht="12.75" customHeight="1">
      <c r="B239" s="206"/>
      <c r="C239" s="206"/>
      <c r="D239" s="206"/>
      <c r="E239" s="206"/>
      <c r="F239" s="206"/>
      <c r="G239" s="206"/>
      <c r="H239" s="206"/>
      <c r="I239" s="206"/>
      <c r="J239" s="206"/>
      <c r="K239" s="206"/>
      <c r="L239" s="206"/>
      <c r="M239" s="206"/>
      <c r="N239" s="206"/>
      <c r="O239" s="206"/>
      <c r="P239" s="206"/>
      <c r="Q239" s="206"/>
      <c r="R239" s="206"/>
      <c r="S239" s="206"/>
      <c r="T239" s="206"/>
      <c r="U239" s="206"/>
      <c r="V239" s="206"/>
      <c r="W239" s="206"/>
    </row>
    <row r="240" spans="2:23" ht="12.75" customHeight="1">
      <c r="B240" s="206"/>
      <c r="C240" s="206"/>
      <c r="D240" s="206"/>
      <c r="E240" s="206"/>
      <c r="F240" s="206"/>
      <c r="G240" s="206"/>
      <c r="H240" s="206"/>
      <c r="I240" s="206"/>
      <c r="J240" s="206"/>
      <c r="K240" s="206"/>
      <c r="L240" s="206"/>
      <c r="M240" s="206"/>
      <c r="N240" s="206"/>
      <c r="O240" s="206"/>
      <c r="P240" s="206"/>
      <c r="Q240" s="206"/>
      <c r="R240" s="206"/>
      <c r="S240" s="206"/>
      <c r="T240" s="206"/>
      <c r="U240" s="206"/>
      <c r="V240" s="206"/>
      <c r="W240" s="206"/>
    </row>
    <row r="241" spans="2:23" ht="12.75" customHeight="1">
      <c r="B241" s="206"/>
      <c r="C241" s="206"/>
      <c r="D241" s="206"/>
      <c r="E241" s="206"/>
      <c r="F241" s="206"/>
      <c r="G241" s="206"/>
      <c r="H241" s="206"/>
      <c r="I241" s="206"/>
      <c r="J241" s="206"/>
      <c r="K241" s="206"/>
      <c r="L241" s="206"/>
      <c r="M241" s="206"/>
      <c r="N241" s="206"/>
      <c r="O241" s="206"/>
      <c r="P241" s="206"/>
      <c r="Q241" s="206"/>
      <c r="R241" s="206"/>
      <c r="S241" s="206"/>
      <c r="T241" s="206"/>
      <c r="U241" s="206"/>
      <c r="V241" s="206"/>
      <c r="W241" s="206"/>
    </row>
    <row r="242" spans="2:23" ht="12.75" customHeight="1">
      <c r="B242" s="206"/>
      <c r="C242" s="206"/>
      <c r="D242" s="206"/>
      <c r="E242" s="206"/>
      <c r="F242" s="206"/>
      <c r="G242" s="206"/>
      <c r="H242" s="206"/>
      <c r="I242" s="206"/>
      <c r="J242" s="206"/>
      <c r="K242" s="206"/>
      <c r="L242" s="206"/>
      <c r="M242" s="206"/>
      <c r="N242" s="206"/>
      <c r="O242" s="206"/>
      <c r="P242" s="206"/>
      <c r="Q242" s="206"/>
      <c r="R242" s="206"/>
      <c r="S242" s="206"/>
      <c r="T242" s="206"/>
      <c r="U242" s="206"/>
      <c r="V242" s="206"/>
      <c r="W242" s="206"/>
    </row>
    <row r="243" spans="2:23" ht="12.75" customHeight="1">
      <c r="B243" s="206"/>
      <c r="C243" s="206"/>
      <c r="D243" s="206"/>
      <c r="E243" s="206"/>
      <c r="F243" s="206"/>
      <c r="G243" s="206"/>
      <c r="H243" s="206"/>
      <c r="I243" s="206"/>
      <c r="J243" s="206"/>
      <c r="K243" s="206"/>
      <c r="L243" s="206"/>
      <c r="M243" s="206"/>
      <c r="N243" s="206"/>
      <c r="O243" s="206"/>
      <c r="P243" s="206"/>
      <c r="Q243" s="206"/>
      <c r="R243" s="206"/>
      <c r="S243" s="206"/>
      <c r="T243" s="206"/>
      <c r="U243" s="206"/>
      <c r="V243" s="206"/>
      <c r="W243" s="206"/>
    </row>
    <row r="244" spans="2:23" ht="12.75" customHeight="1">
      <c r="B244" s="206"/>
      <c r="C244" s="206"/>
      <c r="D244" s="206"/>
      <c r="E244" s="206"/>
      <c r="F244" s="206"/>
      <c r="G244" s="206"/>
      <c r="H244" s="206"/>
      <c r="I244" s="206"/>
      <c r="J244" s="206"/>
      <c r="K244" s="206"/>
      <c r="L244" s="206"/>
      <c r="M244" s="206"/>
      <c r="N244" s="206"/>
      <c r="O244" s="206"/>
      <c r="P244" s="206"/>
      <c r="Q244" s="206"/>
      <c r="R244" s="206"/>
      <c r="S244" s="206"/>
      <c r="T244" s="206"/>
      <c r="U244" s="206"/>
      <c r="V244" s="206"/>
      <c r="W244" s="206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2"/>
  <sheetViews>
    <sheetView view="pageBreakPreview" zoomScaleSheetLayoutView="100" workbookViewId="0">
      <selection activeCell="C16" sqref="C16"/>
    </sheetView>
  </sheetViews>
  <sheetFormatPr defaultColWidth="9.140625" defaultRowHeight="14.25"/>
  <cols>
    <col min="1" max="1" width="5.42578125" style="381" customWidth="1"/>
    <col min="2" max="2" width="5" style="381" customWidth="1"/>
    <col min="3" max="3" width="21.5703125" style="381" customWidth="1"/>
    <col min="4" max="4" width="3.28515625" style="381" customWidth="1"/>
    <col min="5" max="5" width="14" style="49" customWidth="1"/>
    <col min="6" max="6" width="9.140625" style="381"/>
    <col min="7" max="7" width="10.28515625" style="381" customWidth="1"/>
    <col min="8" max="13" width="9.140625" style="381"/>
    <col min="14" max="15" width="3.42578125" style="381" customWidth="1"/>
    <col min="16" max="16" width="5.5703125" style="381" customWidth="1"/>
    <col min="17" max="16384" width="9.140625" style="381"/>
  </cols>
  <sheetData>
    <row r="1" spans="1:16" ht="25.5">
      <c r="A1" s="758" t="str">
        <f>封面!$A$4</f>
        <v>彰化縣地方教育發展基金－彰化縣彰化市民生國民小學</v>
      </c>
      <c r="B1" s="758"/>
      <c r="C1" s="758"/>
      <c r="D1" s="758"/>
      <c r="E1" s="758"/>
      <c r="F1" s="758"/>
      <c r="G1" s="758"/>
      <c r="H1" s="758"/>
      <c r="I1" s="758"/>
      <c r="J1" s="758"/>
      <c r="K1" s="758"/>
      <c r="L1" s="758"/>
      <c r="M1" s="758"/>
      <c r="N1" s="758"/>
      <c r="O1" s="758"/>
    </row>
    <row r="2" spans="1:16" ht="19.5">
      <c r="A2" s="759" t="s">
        <v>115</v>
      </c>
      <c r="B2" s="759"/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59"/>
      <c r="O2" s="759"/>
    </row>
    <row r="3" spans="1:16" ht="15.75">
      <c r="A3" s="760" t="str">
        <f>封面!$E$10&amp;封面!$H$10&amp;封面!$I$10&amp;封面!$J$10&amp;封面!$K$10&amp;封面!L10</f>
        <v>中華民國113年9月份</v>
      </c>
      <c r="B3" s="760"/>
      <c r="C3" s="760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0"/>
      <c r="O3" s="760"/>
    </row>
    <row r="4" spans="1:16" s="382" customFormat="1" ht="16.5">
      <c r="A4" s="382" t="s">
        <v>217</v>
      </c>
      <c r="B4" s="757" t="s">
        <v>218</v>
      </c>
      <c r="C4" s="757"/>
      <c r="D4" s="757"/>
      <c r="E4" s="757"/>
      <c r="F4" s="757"/>
      <c r="G4" s="757"/>
      <c r="H4" s="757"/>
      <c r="I4" s="757"/>
      <c r="J4" s="757"/>
      <c r="K4" s="757"/>
      <c r="L4" s="757"/>
      <c r="M4" s="757"/>
      <c r="N4" s="757"/>
      <c r="O4" s="757"/>
      <c r="P4" s="757"/>
    </row>
    <row r="5" spans="1:16" s="382" customFormat="1" ht="16.5">
      <c r="B5" s="382" t="s">
        <v>225</v>
      </c>
      <c r="C5" s="382" t="s">
        <v>422</v>
      </c>
      <c r="E5" s="50" t="s">
        <v>192</v>
      </c>
    </row>
    <row r="6" spans="1:16" s="382" customFormat="1" ht="16.5">
      <c r="D6" s="89" t="s">
        <v>219</v>
      </c>
      <c r="E6" s="50" t="s">
        <v>193</v>
      </c>
      <c r="H6" s="183" t="s">
        <v>476</v>
      </c>
      <c r="I6" s="296"/>
      <c r="J6" s="296"/>
      <c r="K6" s="296"/>
      <c r="L6" s="296"/>
      <c r="M6" s="296"/>
      <c r="N6" s="296"/>
      <c r="O6" s="296"/>
      <c r="P6" s="296"/>
    </row>
    <row r="7" spans="1:16" s="382" customFormat="1" ht="16.5">
      <c r="B7" s="382" t="s">
        <v>230</v>
      </c>
      <c r="C7" s="382" t="s">
        <v>423</v>
      </c>
      <c r="E7" s="50" t="s">
        <v>192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2" customFormat="1" ht="16.5">
      <c r="D8" s="89" t="s">
        <v>219</v>
      </c>
      <c r="E8" s="50" t="s">
        <v>193</v>
      </c>
      <c r="H8" s="183" t="s">
        <v>431</v>
      </c>
      <c r="I8" s="296"/>
      <c r="J8" s="296"/>
      <c r="K8" s="296"/>
      <c r="L8" s="296"/>
      <c r="M8" s="296"/>
      <c r="N8" s="296"/>
      <c r="O8" s="296"/>
      <c r="P8" s="296"/>
    </row>
    <row r="9" spans="1:16" s="382" customFormat="1" ht="16.5">
      <c r="B9" s="382" t="s">
        <v>281</v>
      </c>
      <c r="C9" s="382" t="s">
        <v>220</v>
      </c>
      <c r="E9" s="50" t="s">
        <v>192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2" customFormat="1" ht="16.5">
      <c r="D10" s="89" t="s">
        <v>219</v>
      </c>
      <c r="E10" s="50" t="s">
        <v>193</v>
      </c>
      <c r="H10" s="183" t="s">
        <v>477</v>
      </c>
      <c r="I10" s="296"/>
      <c r="J10" s="296"/>
      <c r="K10" s="296"/>
      <c r="L10" s="296"/>
      <c r="M10" s="296"/>
      <c r="N10" s="296"/>
      <c r="O10" s="296"/>
      <c r="P10" s="296"/>
    </row>
    <row r="11" spans="1:16" s="382" customFormat="1" ht="16.5">
      <c r="B11" s="382" t="s">
        <v>282</v>
      </c>
      <c r="C11" s="382" t="s">
        <v>221</v>
      </c>
      <c r="D11" s="89" t="s">
        <v>219</v>
      </c>
      <c r="E11" s="50" t="s">
        <v>192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2" customFormat="1" ht="16.5">
      <c r="E12" s="50" t="s">
        <v>193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2" customFormat="1" ht="16.5">
      <c r="B13" s="382" t="s">
        <v>283</v>
      </c>
      <c r="C13" s="383" t="s">
        <v>222</v>
      </c>
      <c r="E13" s="395" t="s">
        <v>192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2" customFormat="1" ht="16.5" customHeight="1">
      <c r="C14" s="383"/>
      <c r="D14" s="89" t="s">
        <v>219</v>
      </c>
      <c r="E14" s="396" t="s">
        <v>193</v>
      </c>
      <c r="H14" s="761" t="s">
        <v>478</v>
      </c>
      <c r="I14" s="761"/>
      <c r="J14" s="761"/>
      <c r="K14" s="761"/>
      <c r="L14" s="761"/>
      <c r="M14" s="761"/>
      <c r="N14" s="761"/>
      <c r="O14" s="761"/>
      <c r="P14" s="761"/>
    </row>
    <row r="15" spans="1:16" s="382" customFormat="1" ht="16.5" customHeight="1">
      <c r="C15" s="383"/>
      <c r="D15" s="332"/>
      <c r="E15" s="331"/>
      <c r="H15" s="761"/>
      <c r="I15" s="761"/>
      <c r="J15" s="761"/>
      <c r="K15" s="761"/>
      <c r="L15" s="761"/>
      <c r="M15" s="761"/>
      <c r="N15" s="761"/>
      <c r="O15" s="761"/>
      <c r="P15" s="761"/>
    </row>
    <row r="16" spans="1:16" s="382" customFormat="1" ht="15.75" customHeight="1">
      <c r="C16" s="383"/>
      <c r="D16" s="383"/>
      <c r="E16" s="317"/>
    </row>
    <row r="17" spans="1:16" s="382" customFormat="1" ht="16.5">
      <c r="A17" s="382" t="s">
        <v>223</v>
      </c>
      <c r="B17" s="757" t="s">
        <v>224</v>
      </c>
      <c r="C17" s="757"/>
      <c r="D17" s="757"/>
      <c r="E17" s="757"/>
      <c r="F17" s="757"/>
      <c r="G17" s="757"/>
      <c r="H17" s="757"/>
      <c r="I17" s="757"/>
      <c r="J17" s="757"/>
      <c r="K17" s="757"/>
      <c r="L17" s="757"/>
      <c r="M17" s="757"/>
      <c r="N17" s="757"/>
    </row>
    <row r="18" spans="1:16" s="382" customFormat="1" ht="16.5">
      <c r="B18" s="382" t="s">
        <v>225</v>
      </c>
      <c r="C18" s="383" t="s">
        <v>226</v>
      </c>
      <c r="D18" s="383"/>
      <c r="E18" s="333"/>
    </row>
    <row r="19" spans="1:16" s="382" customFormat="1" ht="16.5">
      <c r="C19" s="383" t="s">
        <v>227</v>
      </c>
      <c r="D19" s="330" t="s">
        <v>219</v>
      </c>
      <c r="E19" s="333" t="s">
        <v>228</v>
      </c>
    </row>
    <row r="20" spans="1:16" s="382" customFormat="1" ht="16.5">
      <c r="C20" s="383"/>
      <c r="E20" s="333" t="s">
        <v>229</v>
      </c>
      <c r="H20" s="424"/>
      <c r="I20" s="422"/>
      <c r="J20" s="422"/>
      <c r="K20" s="422"/>
      <c r="L20" s="422"/>
      <c r="M20" s="422"/>
      <c r="N20" s="422"/>
      <c r="O20" s="422"/>
      <c r="P20" s="422"/>
    </row>
    <row r="21" spans="1:16" s="382" customFormat="1" ht="16.5">
      <c r="B21" s="382" t="s">
        <v>230</v>
      </c>
      <c r="C21" s="383"/>
      <c r="D21" s="332"/>
      <c r="E21" s="333"/>
      <c r="H21" s="423"/>
      <c r="I21" s="423"/>
      <c r="J21" s="423"/>
      <c r="K21" s="423"/>
      <c r="L21" s="423"/>
      <c r="M21" s="423"/>
      <c r="N21" s="423"/>
      <c r="O21" s="423"/>
      <c r="P21" s="423"/>
    </row>
    <row r="22" spans="1:16" s="382" customFormat="1" ht="16.5">
      <c r="C22" s="383" t="s">
        <v>231</v>
      </c>
      <c r="D22" s="383"/>
      <c r="E22" s="333"/>
    </row>
    <row r="23" spans="1:16" s="382" customFormat="1" ht="16.5">
      <c r="C23" s="499" t="s">
        <v>458</v>
      </c>
      <c r="E23" s="51" t="s">
        <v>192</v>
      </c>
    </row>
    <row r="24" spans="1:16" s="382" customFormat="1" ht="16.5">
      <c r="D24" s="89" t="s">
        <v>219</v>
      </c>
      <c r="E24" s="50" t="s">
        <v>193</v>
      </c>
      <c r="H24" s="755" t="s">
        <v>460</v>
      </c>
      <c r="I24" s="756"/>
      <c r="J24" s="756"/>
      <c r="K24" s="756"/>
      <c r="L24" s="756"/>
      <c r="M24" s="756"/>
      <c r="N24" s="756"/>
      <c r="O24" s="756"/>
      <c r="P24" s="756"/>
    </row>
    <row r="25" spans="1:16" s="382" customFormat="1" ht="16.5">
      <c r="D25" s="500"/>
      <c r="E25" s="50"/>
      <c r="H25" s="756"/>
      <c r="I25" s="756"/>
      <c r="J25" s="756"/>
      <c r="K25" s="756"/>
      <c r="L25" s="756"/>
      <c r="M25" s="756"/>
      <c r="N25" s="756"/>
      <c r="O25" s="756"/>
      <c r="P25" s="756"/>
    </row>
    <row r="26" spans="1:16" s="382" customFormat="1" ht="16.5">
      <c r="C26" s="382" t="s">
        <v>459</v>
      </c>
      <c r="D26" s="501"/>
      <c r="E26" s="51" t="s">
        <v>192</v>
      </c>
    </row>
    <row r="27" spans="1:16" s="382" customFormat="1" ht="16.5">
      <c r="D27" s="89" t="s">
        <v>219</v>
      </c>
      <c r="E27" s="50" t="s">
        <v>193</v>
      </c>
      <c r="H27" s="755" t="s">
        <v>460</v>
      </c>
      <c r="I27" s="756"/>
      <c r="J27" s="756"/>
      <c r="K27" s="756"/>
      <c r="L27" s="756"/>
      <c r="M27" s="756"/>
      <c r="N27" s="756"/>
      <c r="O27" s="756"/>
      <c r="P27" s="756"/>
    </row>
    <row r="28" spans="1:16" s="382" customFormat="1" ht="16.5">
      <c r="E28" s="51"/>
      <c r="H28" s="756"/>
      <c r="I28" s="756"/>
      <c r="J28" s="756"/>
      <c r="K28" s="756"/>
      <c r="L28" s="756"/>
      <c r="M28" s="756"/>
      <c r="N28" s="756"/>
      <c r="O28" s="756"/>
      <c r="P28" s="756"/>
    </row>
    <row r="29" spans="1:16" s="382" customFormat="1" ht="16.5">
      <c r="E29" s="51"/>
    </row>
    <row r="30" spans="1:16" s="382" customFormat="1" ht="16.5">
      <c r="E30" s="51"/>
    </row>
    <row r="31" spans="1:16" s="382" customFormat="1" ht="16.5">
      <c r="E31" s="51"/>
    </row>
    <row r="32" spans="1:16" s="382" customFormat="1" ht="16.5">
      <c r="E32" s="51"/>
    </row>
    <row r="33" spans="5:5" s="382" customFormat="1" ht="16.5">
      <c r="E33" s="51"/>
    </row>
    <row r="34" spans="5:5" s="382" customFormat="1" ht="16.5">
      <c r="E34" s="51"/>
    </row>
    <row r="35" spans="5:5" s="382" customFormat="1" ht="16.5">
      <c r="E35" s="51"/>
    </row>
    <row r="36" spans="5:5" s="382" customFormat="1" ht="16.5">
      <c r="E36" s="51"/>
    </row>
    <row r="37" spans="5:5" s="382" customFormat="1" ht="16.5">
      <c r="E37" s="51"/>
    </row>
    <row r="38" spans="5:5" s="382" customFormat="1" ht="16.5">
      <c r="E38" s="51"/>
    </row>
    <row r="39" spans="5:5" s="382" customFormat="1" ht="16.5">
      <c r="E39" s="51"/>
    </row>
    <row r="40" spans="5:5" s="382" customFormat="1" ht="16.5">
      <c r="E40" s="51"/>
    </row>
    <row r="41" spans="5:5" s="382" customFormat="1" ht="16.5">
      <c r="E41" s="51"/>
    </row>
    <row r="42" spans="5:5" s="382" customFormat="1" ht="16.5">
      <c r="E42" s="51"/>
    </row>
    <row r="43" spans="5:5" s="382" customFormat="1" ht="16.5">
      <c r="E43" s="51"/>
    </row>
    <row r="44" spans="5:5" s="382" customFormat="1" ht="16.5">
      <c r="E44" s="51"/>
    </row>
    <row r="45" spans="5:5" s="382" customFormat="1" ht="16.5">
      <c r="E45" s="51"/>
    </row>
    <row r="46" spans="5:5" s="382" customFormat="1" ht="16.5">
      <c r="E46" s="51"/>
    </row>
    <row r="47" spans="5:5" s="382" customFormat="1" ht="16.5">
      <c r="E47" s="51"/>
    </row>
    <row r="48" spans="5:5" s="382" customFormat="1" ht="16.5">
      <c r="E48" s="51"/>
    </row>
    <row r="49" spans="5:5" s="382" customFormat="1" ht="16.5">
      <c r="E49" s="51"/>
    </row>
    <row r="50" spans="5:5" s="382" customFormat="1" ht="16.5">
      <c r="E50" s="51"/>
    </row>
    <row r="51" spans="5:5" s="382" customFormat="1" ht="16.5">
      <c r="E51" s="51"/>
    </row>
    <row r="52" spans="5:5" s="382" customFormat="1" ht="16.5">
      <c r="E52" s="51"/>
    </row>
    <row r="53" spans="5:5" s="382" customFormat="1" ht="16.5">
      <c r="E53" s="51"/>
    </row>
    <row r="54" spans="5:5" s="382" customFormat="1" ht="16.5">
      <c r="E54" s="51"/>
    </row>
    <row r="55" spans="5:5" s="382" customFormat="1" ht="16.5">
      <c r="E55" s="51"/>
    </row>
    <row r="56" spans="5:5" s="382" customFormat="1" ht="16.5">
      <c r="E56" s="51"/>
    </row>
    <row r="57" spans="5:5" s="382" customFormat="1" ht="16.5">
      <c r="E57" s="51"/>
    </row>
    <row r="58" spans="5:5" s="382" customFormat="1" ht="16.5">
      <c r="E58" s="51"/>
    </row>
    <row r="59" spans="5:5" s="382" customFormat="1" ht="16.5">
      <c r="E59" s="51"/>
    </row>
    <row r="60" spans="5:5" s="382" customFormat="1" ht="16.5">
      <c r="E60" s="51"/>
    </row>
    <row r="61" spans="5:5" s="382" customFormat="1" ht="16.5">
      <c r="E61" s="51"/>
    </row>
    <row r="62" spans="5:5" s="382" customFormat="1" ht="16.5">
      <c r="E62" s="51"/>
    </row>
  </sheetData>
  <mergeCells count="8">
    <mergeCell ref="H24:P25"/>
    <mergeCell ref="H27:P28"/>
    <mergeCell ref="B17:N17"/>
    <mergeCell ref="A1:O1"/>
    <mergeCell ref="A2:O2"/>
    <mergeCell ref="A3:O3"/>
    <mergeCell ref="B4:P4"/>
    <mergeCell ref="H14:P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4"/>
  <sheetViews>
    <sheetView showGridLines="0" showZeros="0" showOutlineSymbols="0" view="pageBreakPreview" zoomScaleSheetLayoutView="100" workbookViewId="0">
      <pane xSplit="2" ySplit="13" topLeftCell="C18" activePane="bottomRight" state="frozen"/>
      <selection activeCell="C16" sqref="C16"/>
      <selection pane="topRight" activeCell="C16" sqref="C16"/>
      <selection pane="bottomLeft" activeCell="C16" sqref="C16"/>
      <selection pane="bottomRight" activeCell="C16" sqref="C16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705" t="str">
        <f>封面!$A$4</f>
        <v>彰化縣地方教育發展基金－彰化縣彰化市民生國民小學</v>
      </c>
      <c r="B1" s="705"/>
      <c r="C1" s="705"/>
      <c r="D1" s="705"/>
      <c r="E1" s="705"/>
      <c r="F1" s="705"/>
      <c r="G1" s="705"/>
      <c r="H1" s="705"/>
      <c r="I1" s="601"/>
      <c r="J1" s="601"/>
      <c r="K1" s="601"/>
      <c r="L1" s="601"/>
      <c r="M1" s="601"/>
      <c r="N1" s="601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21" t="s">
        <v>298</v>
      </c>
      <c r="B4" s="721"/>
      <c r="C4" s="721"/>
      <c r="D4" s="721"/>
      <c r="E4" s="721"/>
      <c r="F4" s="721"/>
      <c r="G4" s="721"/>
      <c r="H4" s="721"/>
      <c r="I4" s="601"/>
      <c r="J4" s="601"/>
      <c r="K4" s="601"/>
      <c r="L4" s="601"/>
      <c r="M4" s="601"/>
      <c r="N4" s="601"/>
    </row>
    <row r="5" spans="1:18" ht="6.75" customHeight="1"/>
    <row r="6" spans="1:18" ht="16.5">
      <c r="A6" s="706" t="str">
        <f>封面!$E$10&amp;封面!$H$10&amp;封面!$I$10&amp;封面!$J$10&amp;封面!$K$10&amp;封面!$O$10&amp;"日"</f>
        <v>中華民國113年9月30日</v>
      </c>
      <c r="B6" s="706"/>
      <c r="C6" s="706"/>
      <c r="D6" s="706"/>
      <c r="E6" s="706"/>
      <c r="F6" s="706"/>
      <c r="G6" s="706"/>
      <c r="H6" s="706"/>
      <c r="I6" s="601"/>
      <c r="J6" s="601"/>
      <c r="K6" s="601"/>
      <c r="L6" s="601"/>
      <c r="M6" s="601"/>
      <c r="N6" s="601"/>
    </row>
    <row r="7" spans="1:18" ht="16.5">
      <c r="A7" s="666" t="s">
        <v>703</v>
      </c>
      <c r="B7" s="666"/>
      <c r="C7" s="666"/>
      <c r="D7" s="666"/>
      <c r="E7" s="666"/>
      <c r="F7" s="666"/>
      <c r="G7" s="666"/>
      <c r="H7" s="666"/>
      <c r="I7" s="601"/>
      <c r="J7" s="601"/>
      <c r="K7" s="601"/>
      <c r="L7" s="601"/>
      <c r="M7" s="601"/>
      <c r="N7" s="601"/>
    </row>
    <row r="8" spans="1:18" ht="6" hidden="1" customHeight="1"/>
    <row r="9" spans="1:18" s="300" customFormat="1" ht="21" customHeight="1">
      <c r="A9" s="775" t="s">
        <v>295</v>
      </c>
      <c r="B9" s="776"/>
      <c r="C9" s="776"/>
      <c r="D9" s="776"/>
      <c r="E9" s="776"/>
      <c r="F9" s="775" t="s">
        <v>196</v>
      </c>
      <c r="G9" s="776"/>
      <c r="H9" s="776"/>
      <c r="I9" s="776"/>
      <c r="J9" s="776"/>
      <c r="K9" s="776"/>
      <c r="L9" s="776"/>
      <c r="M9" s="776"/>
      <c r="N9" s="776"/>
      <c r="O9" s="299"/>
      <c r="P9" s="299"/>
      <c r="Q9" s="299"/>
      <c r="R9" s="299"/>
    </row>
    <row r="10" spans="1:18" s="300" customFormat="1" ht="21" customHeight="1">
      <c r="A10" s="776"/>
      <c r="B10" s="776"/>
      <c r="C10" s="776"/>
      <c r="D10" s="776"/>
      <c r="E10" s="776"/>
      <c r="F10" s="772" t="s">
        <v>296</v>
      </c>
      <c r="G10" s="773"/>
      <c r="H10" s="773"/>
      <c r="I10" s="774"/>
      <c r="J10" s="779" t="s">
        <v>297</v>
      </c>
      <c r="K10" s="779"/>
      <c r="L10" s="779"/>
      <c r="M10" s="779"/>
      <c r="N10" s="779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8"/>
      <c r="J11" s="301"/>
      <c r="K11" s="301"/>
      <c r="L11" s="301"/>
      <c r="M11" s="301"/>
      <c r="N11" s="302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1"/>
      <c r="K12" s="301"/>
      <c r="L12" s="301"/>
      <c r="M12" s="301"/>
      <c r="N12" s="302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1"/>
      <c r="K13" s="301"/>
      <c r="L13" s="301"/>
      <c r="M13" s="301"/>
      <c r="N13" s="302"/>
    </row>
    <row r="14" spans="1:18" s="444" customFormat="1" ht="14.25">
      <c r="A14" s="777" t="s">
        <v>379</v>
      </c>
      <c r="B14" s="778"/>
      <c r="C14" s="778"/>
      <c r="D14" s="778"/>
      <c r="E14" s="437"/>
      <c r="F14" s="438"/>
      <c r="G14" s="439"/>
      <c r="H14" s="439"/>
      <c r="I14" s="440">
        <f>SUM(I15:I25)/2</f>
        <v>10723905</v>
      </c>
      <c r="J14" s="441"/>
      <c r="K14" s="442"/>
      <c r="L14" s="442"/>
      <c r="M14" s="443"/>
      <c r="N14" s="440">
        <f>I14+[2]收支!$N14</f>
        <v>140829072</v>
      </c>
    </row>
    <row r="15" spans="1:18" s="444" customFormat="1" ht="14.25">
      <c r="A15" s="445"/>
      <c r="B15" s="767" t="s">
        <v>380</v>
      </c>
      <c r="C15" s="767"/>
      <c r="D15" s="767"/>
      <c r="E15" s="768"/>
      <c r="F15" s="446"/>
      <c r="G15" s="447"/>
      <c r="H15" s="447"/>
      <c r="I15" s="448">
        <f>I16</f>
        <v>45840</v>
      </c>
      <c r="J15" s="449"/>
      <c r="K15" s="450"/>
      <c r="L15" s="450"/>
      <c r="M15" s="451"/>
      <c r="N15" s="448">
        <f>I15+[2]收支!$N15</f>
        <v>214215</v>
      </c>
    </row>
    <row r="16" spans="1:18" s="460" customFormat="1" ht="14.25">
      <c r="A16" s="452"/>
      <c r="B16" s="453"/>
      <c r="C16" s="323" t="s">
        <v>381</v>
      </c>
      <c r="D16" s="323"/>
      <c r="E16" s="324"/>
      <c r="F16" s="454"/>
      <c r="G16" s="455"/>
      <c r="H16" s="455"/>
      <c r="I16" s="456">
        <v>45840</v>
      </c>
      <c r="J16" s="457"/>
      <c r="K16" s="458"/>
      <c r="L16" s="458"/>
      <c r="M16" s="459"/>
      <c r="N16" s="456">
        <f>I16+[2]收支!$N16</f>
        <v>214215</v>
      </c>
    </row>
    <row r="17" spans="1:14" s="444" customFormat="1" ht="14.25">
      <c r="A17" s="461"/>
      <c r="B17" s="767" t="s">
        <v>316</v>
      </c>
      <c r="C17" s="767"/>
      <c r="D17" s="767"/>
      <c r="E17" s="768"/>
      <c r="F17" s="446"/>
      <c r="G17" s="447"/>
      <c r="H17" s="447"/>
      <c r="I17" s="448">
        <f>SUM(I18:I21)</f>
        <v>902735</v>
      </c>
      <c r="J17" s="449"/>
      <c r="K17" s="450"/>
      <c r="L17" s="450"/>
      <c r="M17" s="451"/>
      <c r="N17" s="448">
        <f>I17+[2]收支!$N17</f>
        <v>24321925</v>
      </c>
    </row>
    <row r="18" spans="1:14" s="465" customFormat="1" ht="14.25">
      <c r="A18" s="462"/>
      <c r="B18" s="453"/>
      <c r="C18" s="323" t="s">
        <v>425</v>
      </c>
      <c r="D18" s="453"/>
      <c r="E18" s="463"/>
      <c r="F18" s="454"/>
      <c r="G18" s="455"/>
      <c r="H18" s="455"/>
      <c r="I18" s="464"/>
      <c r="J18" s="457"/>
      <c r="K18" s="458"/>
      <c r="L18" s="458"/>
      <c r="M18" s="459"/>
      <c r="N18" s="456">
        <f>I18+[2]收支!$N18</f>
        <v>36111</v>
      </c>
    </row>
    <row r="19" spans="1:14" s="460" customFormat="1" ht="14.25">
      <c r="A19" s="462"/>
      <c r="B19" s="453"/>
      <c r="C19" s="323" t="s">
        <v>382</v>
      </c>
      <c r="D19" s="323"/>
      <c r="E19" s="324"/>
      <c r="F19" s="454"/>
      <c r="G19" s="455"/>
      <c r="H19" s="455"/>
      <c r="I19" s="456">
        <v>500</v>
      </c>
      <c r="J19" s="457"/>
      <c r="K19" s="458"/>
      <c r="L19" s="458"/>
      <c r="M19" s="459"/>
      <c r="N19" s="456">
        <f>I19+[2]收支!$N19</f>
        <v>10234</v>
      </c>
    </row>
    <row r="20" spans="1:14" s="460" customFormat="1" ht="14.25" hidden="1">
      <c r="A20" s="462"/>
      <c r="B20" s="453"/>
      <c r="C20" s="323" t="s">
        <v>383</v>
      </c>
      <c r="D20" s="323"/>
      <c r="E20" s="324"/>
      <c r="F20" s="454"/>
      <c r="G20" s="455"/>
      <c r="H20" s="455"/>
      <c r="I20" s="456"/>
      <c r="J20" s="457"/>
      <c r="K20" s="458"/>
      <c r="L20" s="458"/>
      <c r="M20" s="459"/>
      <c r="N20" s="456">
        <f>I20+[2]收支!$N20</f>
        <v>0</v>
      </c>
    </row>
    <row r="21" spans="1:14" s="460" customFormat="1" ht="14.25">
      <c r="A21" s="462"/>
      <c r="B21" s="453"/>
      <c r="C21" s="323" t="s">
        <v>384</v>
      </c>
      <c r="D21" s="323"/>
      <c r="E21" s="324"/>
      <c r="F21" s="454"/>
      <c r="G21" s="455"/>
      <c r="H21" s="455"/>
      <c r="I21" s="456">
        <v>902235</v>
      </c>
      <c r="J21" s="457"/>
      <c r="K21" s="458"/>
      <c r="L21" s="458"/>
      <c r="M21" s="459"/>
      <c r="N21" s="456">
        <f>I21+[2]收支!$N21</f>
        <v>24275580</v>
      </c>
    </row>
    <row r="22" spans="1:14" s="467" customFormat="1" ht="14.25">
      <c r="A22" s="466"/>
      <c r="B22" s="767" t="s">
        <v>385</v>
      </c>
      <c r="C22" s="767"/>
      <c r="D22" s="767"/>
      <c r="E22" s="768"/>
      <c r="F22" s="446"/>
      <c r="G22" s="447"/>
      <c r="H22" s="447"/>
      <c r="I22" s="448">
        <f>I23</f>
        <v>9768512</v>
      </c>
      <c r="J22" s="449"/>
      <c r="K22" s="450"/>
      <c r="L22" s="450"/>
      <c r="M22" s="451"/>
      <c r="N22" s="448">
        <f>I22+[2]收支!$N22</f>
        <v>116078564</v>
      </c>
    </row>
    <row r="23" spans="1:14" s="472" customFormat="1" ht="14.25">
      <c r="A23" s="468"/>
      <c r="B23" s="49"/>
      <c r="C23" s="469" t="s">
        <v>386</v>
      </c>
      <c r="D23" s="469"/>
      <c r="E23" s="470"/>
      <c r="F23" s="468"/>
      <c r="G23"/>
      <c r="H23"/>
      <c r="I23" s="471">
        <v>9768512</v>
      </c>
      <c r="J23" s="462"/>
      <c r="K23" s="49"/>
      <c r="L23" s="49"/>
      <c r="M23" s="113"/>
      <c r="N23" s="471">
        <f>I23+[2]收支!$N23</f>
        <v>116078564</v>
      </c>
    </row>
    <row r="24" spans="1:14" s="467" customFormat="1" ht="14.25">
      <c r="A24" s="466"/>
      <c r="B24" s="473" t="s">
        <v>387</v>
      </c>
      <c r="C24" s="474"/>
      <c r="D24" s="474"/>
      <c r="E24" s="475"/>
      <c r="F24" s="466"/>
      <c r="G24" s="476"/>
      <c r="H24" s="476"/>
      <c r="I24" s="477">
        <f>I25</f>
        <v>6818</v>
      </c>
      <c r="J24" s="461"/>
      <c r="K24" s="473"/>
      <c r="L24" s="473"/>
      <c r="M24" s="478"/>
      <c r="N24" s="477">
        <f>I24+[2]收支!$N24</f>
        <v>214368</v>
      </c>
    </row>
    <row r="25" spans="1:14" s="472" customFormat="1" ht="14.25">
      <c r="A25" s="468"/>
      <c r="B25" s="49"/>
      <c r="C25" s="469" t="s">
        <v>388</v>
      </c>
      <c r="D25" s="469"/>
      <c r="E25" s="470"/>
      <c r="F25" s="468"/>
      <c r="G25"/>
      <c r="H25"/>
      <c r="I25" s="471">
        <v>6818</v>
      </c>
      <c r="J25" s="462"/>
      <c r="K25" s="49"/>
      <c r="L25" s="49"/>
      <c r="M25" s="113"/>
      <c r="N25" s="471">
        <f>I25+[2]收支!$N25</f>
        <v>214368</v>
      </c>
    </row>
    <row r="26" spans="1:14" s="467" customFormat="1" ht="14.25">
      <c r="A26" s="766" t="s">
        <v>317</v>
      </c>
      <c r="B26" s="767"/>
      <c r="C26" s="767"/>
      <c r="D26" s="767"/>
      <c r="E26" s="479"/>
      <c r="F26" s="446"/>
      <c r="G26" s="447"/>
      <c r="H26" s="447"/>
      <c r="I26" s="448">
        <f>SUM(I27:I37)/2</f>
        <v>10681896</v>
      </c>
      <c r="J26" s="449"/>
      <c r="K26" s="450"/>
      <c r="L26" s="450"/>
      <c r="M26" s="451"/>
      <c r="N26" s="448">
        <f>I26+[2]收支!$N26</f>
        <v>141990055</v>
      </c>
    </row>
    <row r="27" spans="1:14" s="467" customFormat="1" ht="14.25">
      <c r="A27" s="466"/>
      <c r="B27" s="767" t="s">
        <v>389</v>
      </c>
      <c r="C27" s="767"/>
      <c r="D27" s="767"/>
      <c r="E27" s="768"/>
      <c r="F27" s="446"/>
      <c r="G27" s="447"/>
      <c r="H27" s="447"/>
      <c r="I27" s="448">
        <f>I28</f>
        <v>9013322</v>
      </c>
      <c r="J27" s="449"/>
      <c r="K27" s="450"/>
      <c r="L27" s="450"/>
      <c r="M27" s="451"/>
      <c r="N27" s="448">
        <f>I27+[2]收支!$N27</f>
        <v>114913792</v>
      </c>
    </row>
    <row r="28" spans="1:14" s="472" customFormat="1" ht="14.25">
      <c r="A28" s="468"/>
      <c r="B28" s="453"/>
      <c r="C28" s="323" t="s">
        <v>389</v>
      </c>
      <c r="D28" s="323"/>
      <c r="E28" s="324"/>
      <c r="F28" s="454"/>
      <c r="G28" s="455"/>
      <c r="H28" s="455"/>
      <c r="I28" s="456">
        <v>9013322</v>
      </c>
      <c r="J28" s="457"/>
      <c r="K28" s="458"/>
      <c r="L28" s="458"/>
      <c r="M28" s="459"/>
      <c r="N28" s="456">
        <f>I28+[2]收支!$N28</f>
        <v>114913792</v>
      </c>
    </row>
    <row r="29" spans="1:14" s="467" customFormat="1" ht="14.25">
      <c r="A29" s="466"/>
      <c r="B29" s="767" t="s">
        <v>390</v>
      </c>
      <c r="C29" s="767"/>
      <c r="D29" s="767"/>
      <c r="E29" s="768"/>
      <c r="F29" s="446"/>
      <c r="G29" s="447"/>
      <c r="H29" s="447"/>
      <c r="I29" s="448">
        <f>I30</f>
        <v>473481</v>
      </c>
      <c r="J29" s="449"/>
      <c r="K29" s="450"/>
      <c r="L29" s="450"/>
      <c r="M29" s="451"/>
      <c r="N29" s="448">
        <f>I29+[2]收支!$N29</f>
        <v>2712048</v>
      </c>
    </row>
    <row r="30" spans="1:14" s="472" customFormat="1" ht="14.25">
      <c r="A30" s="468"/>
      <c r="B30" s="453"/>
      <c r="C30" s="323" t="s">
        <v>390</v>
      </c>
      <c r="D30" s="323"/>
      <c r="E30" s="324"/>
      <c r="F30" s="454"/>
      <c r="G30" s="455"/>
      <c r="H30" s="455"/>
      <c r="I30" s="456">
        <v>473481</v>
      </c>
      <c r="J30" s="457"/>
      <c r="K30" s="458"/>
      <c r="L30" s="458"/>
      <c r="M30" s="459"/>
      <c r="N30" s="456">
        <f>I30+[2]收支!$N30</f>
        <v>2712048</v>
      </c>
    </row>
    <row r="31" spans="1:14" s="467" customFormat="1" ht="14.25">
      <c r="A31" s="466"/>
      <c r="B31" s="480" t="s">
        <v>391</v>
      </c>
      <c r="C31" s="481"/>
      <c r="D31" s="481"/>
      <c r="E31" s="482"/>
      <c r="F31" s="446"/>
      <c r="G31" s="447"/>
      <c r="H31" s="447"/>
      <c r="I31" s="448">
        <f>I32</f>
        <v>845</v>
      </c>
      <c r="J31" s="449"/>
      <c r="K31" s="450"/>
      <c r="L31" s="450"/>
      <c r="M31" s="451"/>
      <c r="N31" s="448">
        <f>I31+[2]收支!$N31</f>
        <v>2351</v>
      </c>
    </row>
    <row r="32" spans="1:14" s="472" customFormat="1" ht="14.25">
      <c r="A32" s="468"/>
      <c r="B32" s="453"/>
      <c r="C32" s="323" t="s">
        <v>392</v>
      </c>
      <c r="D32" s="323"/>
      <c r="E32" s="324"/>
      <c r="F32" s="454"/>
      <c r="G32" s="455"/>
      <c r="H32" s="455"/>
      <c r="I32" s="456">
        <v>845</v>
      </c>
      <c r="J32" s="457"/>
      <c r="K32" s="458"/>
      <c r="L32" s="458"/>
      <c r="M32" s="459"/>
      <c r="N32" s="456">
        <f>I32+[2]收支!$N32</f>
        <v>2351</v>
      </c>
    </row>
    <row r="33" spans="1:14" s="467" customFormat="1" ht="14.25">
      <c r="A33" s="466"/>
      <c r="B33" s="767" t="s">
        <v>393</v>
      </c>
      <c r="C33" s="767"/>
      <c r="D33" s="767"/>
      <c r="E33" s="768"/>
      <c r="F33" s="446"/>
      <c r="G33" s="447"/>
      <c r="H33" s="447"/>
      <c r="I33" s="448">
        <f>I34+I35</f>
        <v>1193151</v>
      </c>
      <c r="J33" s="449"/>
      <c r="K33" s="450"/>
      <c r="L33" s="450"/>
      <c r="M33" s="451"/>
      <c r="N33" s="448">
        <f>I33+[2]收支!$N33</f>
        <v>9913197</v>
      </c>
    </row>
    <row r="34" spans="1:14" s="472" customFormat="1" ht="14.25">
      <c r="A34" s="468"/>
      <c r="B34" s="49"/>
      <c r="C34" s="469" t="s">
        <v>394</v>
      </c>
      <c r="D34" s="469"/>
      <c r="E34" s="470"/>
      <c r="F34" s="468"/>
      <c r="G34"/>
      <c r="H34"/>
      <c r="I34" s="456">
        <v>1187706</v>
      </c>
      <c r="J34" s="462"/>
      <c r="K34" s="49"/>
      <c r="L34" s="49"/>
      <c r="M34" s="113"/>
      <c r="N34" s="456">
        <f>I34+[2]收支!$N34</f>
        <v>9881501</v>
      </c>
    </row>
    <row r="35" spans="1:14" s="472" customFormat="1" ht="14.25">
      <c r="A35" s="468"/>
      <c r="B35" s="49"/>
      <c r="C35" s="469" t="s">
        <v>456</v>
      </c>
      <c r="D35" s="469"/>
      <c r="E35" s="470"/>
      <c r="F35" s="468"/>
      <c r="G35"/>
      <c r="H35"/>
      <c r="I35" s="456">
        <v>5445</v>
      </c>
      <c r="J35" s="462"/>
      <c r="K35" s="49"/>
      <c r="L35" s="49"/>
      <c r="M35" s="113"/>
      <c r="N35" s="456">
        <f>I35+[2]收支!$N35</f>
        <v>31696</v>
      </c>
    </row>
    <row r="36" spans="1:14" s="467" customFormat="1" ht="14.25">
      <c r="A36" s="466"/>
      <c r="B36" s="473" t="s">
        <v>395</v>
      </c>
      <c r="C36" s="474"/>
      <c r="D36" s="474"/>
      <c r="E36" s="475"/>
      <c r="F36" s="466"/>
      <c r="G36" s="476"/>
      <c r="H36" s="476"/>
      <c r="I36" s="448">
        <f>I37</f>
        <v>1097</v>
      </c>
      <c r="J36" s="461"/>
      <c r="K36" s="473"/>
      <c r="L36" s="473"/>
      <c r="M36" s="478"/>
      <c r="N36" s="448">
        <f>I36+[2]收支!$N36</f>
        <v>14448667</v>
      </c>
    </row>
    <row r="37" spans="1:14" s="472" customFormat="1" ht="14.25">
      <c r="A37" s="468"/>
      <c r="B37" s="49"/>
      <c r="C37" s="469" t="s">
        <v>395</v>
      </c>
      <c r="D37" s="469"/>
      <c r="E37" s="470"/>
      <c r="F37" s="468"/>
      <c r="G37"/>
      <c r="H37"/>
      <c r="I37" s="456">
        <v>1097</v>
      </c>
      <c r="J37" s="462"/>
      <c r="K37" s="49"/>
      <c r="L37" s="49"/>
      <c r="M37" s="113"/>
      <c r="N37" s="456">
        <f>I37+[2]收支!$N37</f>
        <v>14448667</v>
      </c>
    </row>
    <row r="38" spans="1:14" s="467" customFormat="1" ht="14.25">
      <c r="A38" s="769" t="s">
        <v>396</v>
      </c>
      <c r="B38" s="770"/>
      <c r="C38" s="771"/>
      <c r="D38" s="771"/>
      <c r="E38" s="479"/>
      <c r="F38" s="446"/>
      <c r="G38" s="447"/>
      <c r="H38" s="447"/>
      <c r="I38" s="448">
        <f>I14-I26</f>
        <v>42009</v>
      </c>
      <c r="J38" s="449"/>
      <c r="K38" s="450"/>
      <c r="L38" s="450"/>
      <c r="M38" s="451"/>
      <c r="N38" s="448">
        <f>I38+[2]收支!$N38</f>
        <v>-1160983</v>
      </c>
    </row>
    <row r="39" spans="1:14" s="472" customFormat="1" ht="14.25">
      <c r="A39" s="762" t="s">
        <v>318</v>
      </c>
      <c r="B39" s="763"/>
      <c r="C39" s="763"/>
      <c r="D39" s="763"/>
      <c r="E39" s="483"/>
      <c r="F39" s="484"/>
      <c r="G39" s="485"/>
      <c r="H39" s="486"/>
      <c r="I39" s="456"/>
      <c r="J39" s="457"/>
      <c r="K39" s="458"/>
      <c r="L39" s="458"/>
      <c r="M39" s="459"/>
      <c r="N39" s="487">
        <f>[3]收支!$N41</f>
        <v>341690768</v>
      </c>
    </row>
    <row r="40" spans="1:14" s="472" customFormat="1" ht="14.25">
      <c r="A40" s="762" t="s">
        <v>319</v>
      </c>
      <c r="B40" s="763"/>
      <c r="C40" s="763"/>
      <c r="D40" s="763"/>
      <c r="E40" s="483"/>
      <c r="F40" s="488"/>
      <c r="G40" s="485"/>
      <c r="H40" s="489"/>
      <c r="I40" s="456"/>
      <c r="J40" s="462"/>
      <c r="K40" s="49"/>
      <c r="L40" s="49"/>
      <c r="M40" s="113"/>
      <c r="N40" s="456">
        <f>I40+[4]收支!N39</f>
        <v>0</v>
      </c>
    </row>
    <row r="41" spans="1:14" s="472" customFormat="1" ht="14.25">
      <c r="A41" s="762" t="s">
        <v>444</v>
      </c>
      <c r="B41" s="763"/>
      <c r="C41" s="763"/>
      <c r="D41" s="763"/>
      <c r="E41" s="483"/>
      <c r="F41" s="488"/>
      <c r="G41" s="485"/>
      <c r="H41" s="489"/>
      <c r="I41" s="456"/>
      <c r="J41" s="462"/>
      <c r="K41" s="49"/>
      <c r="L41" s="49"/>
      <c r="M41" s="113"/>
      <c r="N41" s="456">
        <f>VLOOKUP(A41,平衡!$M$13:T48,8,0)</f>
        <v>2586362</v>
      </c>
    </row>
    <row r="42" spans="1:14" s="472" customFormat="1" ht="14.25">
      <c r="A42" s="764" t="s">
        <v>397</v>
      </c>
      <c r="B42" s="765"/>
      <c r="C42" s="765"/>
      <c r="D42" s="765"/>
      <c r="E42" s="490"/>
      <c r="F42" s="491"/>
      <c r="G42" s="492"/>
      <c r="H42" s="493"/>
      <c r="I42" s="494"/>
      <c r="J42" s="495"/>
      <c r="K42" s="496"/>
      <c r="L42" s="496"/>
      <c r="M42" s="497"/>
      <c r="N42" s="498">
        <f>N38+N39-N40+N41</f>
        <v>343116147</v>
      </c>
    </row>
    <row r="43" spans="1:14" s="379" customFormat="1" ht="12.75" hidden="1" customHeight="1">
      <c r="A43" s="305"/>
      <c r="B43" s="305"/>
      <c r="C43" s="305"/>
      <c r="D43" s="305"/>
      <c r="E43" s="380"/>
      <c r="F43" s="380"/>
      <c r="G43" s="380"/>
      <c r="H43" s="380"/>
      <c r="I43" s="380">
        <v>0</v>
      </c>
    </row>
    <row r="44" spans="1:14" s="380" customFormat="1" ht="16.5">
      <c r="A44" s="305" t="s">
        <v>398</v>
      </c>
      <c r="B44" s="305" t="s">
        <v>443</v>
      </c>
      <c r="C44" s="305"/>
      <c r="D44" s="305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40:D40"/>
    <mergeCell ref="A42:D42"/>
    <mergeCell ref="A26:D26"/>
    <mergeCell ref="B27:E27"/>
    <mergeCell ref="B33:E33"/>
    <mergeCell ref="A38:D38"/>
    <mergeCell ref="A39:D39"/>
    <mergeCell ref="B29:E29"/>
    <mergeCell ref="A41:D41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C16" sqref="C16"/>
      <selection pane="topRight" activeCell="C16" sqref="C16"/>
      <selection pane="bottomLeft" activeCell="C16" sqref="C16"/>
      <selection pane="bottomRight" activeCell="C16" sqref="C16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705" t="str">
        <f>封面!$A$4</f>
        <v>彰化縣地方教育發展基金－彰化縣彰化市民生國民小學</v>
      </c>
      <c r="B1" s="705"/>
      <c r="C1" s="705"/>
      <c r="D1" s="705"/>
      <c r="E1" s="705"/>
      <c r="F1" s="705"/>
      <c r="G1" s="601"/>
      <c r="H1" s="601"/>
      <c r="I1" s="601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21" t="s">
        <v>299</v>
      </c>
      <c r="B4" s="721"/>
      <c r="C4" s="721"/>
      <c r="D4" s="721"/>
      <c r="E4" s="721"/>
      <c r="F4" s="721"/>
      <c r="G4" s="601"/>
      <c r="H4" s="601"/>
      <c r="I4" s="601"/>
    </row>
    <row r="5" spans="1:10" ht="6.75" customHeight="1"/>
    <row r="6" spans="1:10" ht="16.5">
      <c r="A6" s="706" t="str">
        <f>封面!$E$10&amp;封面!$H$10&amp;封面!$I$10&amp;封面!$J$10&amp;封面!$K$10&amp;封面!L10</f>
        <v>中華民國113年9月份</v>
      </c>
      <c r="B6" s="706"/>
      <c r="C6" s="706"/>
      <c r="D6" s="706"/>
      <c r="E6" s="706"/>
      <c r="F6" s="706"/>
      <c r="G6" s="601"/>
      <c r="H6" s="601"/>
      <c r="I6" s="601"/>
    </row>
    <row r="7" spans="1:10" ht="16.5">
      <c r="A7" s="666" t="s">
        <v>39</v>
      </c>
      <c r="B7" s="666"/>
      <c r="C7" s="666"/>
      <c r="D7" s="666"/>
      <c r="E7" s="666"/>
      <c r="F7" s="666"/>
      <c r="G7" s="601"/>
      <c r="H7" s="601"/>
      <c r="I7" s="601"/>
    </row>
    <row r="8" spans="1:10" ht="6" customHeight="1"/>
    <row r="9" spans="1:10" s="306" customFormat="1" ht="42.75" customHeight="1">
      <c r="A9" s="776" t="s">
        <v>300</v>
      </c>
      <c r="B9" s="776"/>
      <c r="C9" s="307" t="s">
        <v>301</v>
      </c>
      <c r="D9" s="308" t="s">
        <v>302</v>
      </c>
      <c r="E9" s="308" t="s">
        <v>303</v>
      </c>
      <c r="F9" s="308"/>
      <c r="G9" s="776" t="s">
        <v>304</v>
      </c>
      <c r="H9" s="728"/>
      <c r="I9" s="728"/>
    </row>
    <row r="10" spans="1:10" s="294" customFormat="1" ht="12.75" hidden="1" customHeight="1">
      <c r="A10" s="309"/>
      <c r="B10" s="309"/>
      <c r="C10" s="309"/>
      <c r="D10" s="309"/>
      <c r="E10" s="291"/>
      <c r="F10" s="291"/>
      <c r="G10" s="793" t="s">
        <v>304</v>
      </c>
      <c r="H10" s="726"/>
      <c r="I10" s="726"/>
    </row>
    <row r="11" spans="1:10" s="294" customFormat="1" ht="12.75" hidden="1" customHeight="1">
      <c r="A11" s="309"/>
      <c r="B11" s="309"/>
      <c r="C11" s="309"/>
      <c r="D11" s="309"/>
      <c r="E11" s="309"/>
      <c r="F11" s="309"/>
      <c r="G11" s="793" t="s">
        <v>304</v>
      </c>
      <c r="H11" s="726"/>
      <c r="I11" s="726"/>
    </row>
    <row r="12" spans="1:10" s="294" customFormat="1" ht="9" hidden="1" customHeight="1">
      <c r="A12" s="309"/>
      <c r="B12" s="309"/>
      <c r="C12" s="309"/>
      <c r="D12" s="309"/>
      <c r="E12" s="309"/>
      <c r="F12" s="309"/>
      <c r="G12" s="793" t="s">
        <v>304</v>
      </c>
      <c r="H12" s="726"/>
      <c r="I12" s="726"/>
    </row>
    <row r="13" spans="1:10" s="379" customFormat="1" ht="16.5">
      <c r="A13" s="794" t="s">
        <v>399</v>
      </c>
      <c r="B13" s="794"/>
      <c r="C13" s="369">
        <f>SUM(C14:C17)</f>
        <v>116553492</v>
      </c>
      <c r="D13" s="369">
        <f t="shared" ref="D13:E13" si="0">SUM(D14:D17)</f>
        <v>24275580</v>
      </c>
      <c r="E13" s="369">
        <f t="shared" si="0"/>
        <v>140829072</v>
      </c>
      <c r="F13" s="310"/>
      <c r="G13" s="792" t="s">
        <v>400</v>
      </c>
      <c r="H13" s="790"/>
      <c r="I13" s="791"/>
      <c r="J13" s="379">
        <f>D13</f>
        <v>24275580</v>
      </c>
    </row>
    <row r="14" spans="1:10" s="379" customFormat="1" ht="16.5">
      <c r="A14" s="303"/>
      <c r="B14" s="378" t="s">
        <v>401</v>
      </c>
      <c r="C14" s="363">
        <v>214215</v>
      </c>
      <c r="D14" s="363"/>
      <c r="E14" s="370">
        <f>C14+D14</f>
        <v>214215</v>
      </c>
      <c r="F14" s="310"/>
      <c r="G14" s="304"/>
      <c r="H14" s="790" t="s">
        <v>401</v>
      </c>
      <c r="I14" s="791"/>
      <c r="J14" s="379">
        <f t="shared" ref="J14:J33" si="1">D14</f>
        <v>0</v>
      </c>
    </row>
    <row r="15" spans="1:10" s="379" customFormat="1" ht="16.5">
      <c r="A15" s="303"/>
      <c r="B15" s="378" t="s">
        <v>402</v>
      </c>
      <c r="C15" s="363">
        <v>46345</v>
      </c>
      <c r="D15" s="363">
        <v>24275580</v>
      </c>
      <c r="E15" s="370">
        <f t="shared" ref="E15:E16" si="2">C15+D15</f>
        <v>24321925</v>
      </c>
      <c r="F15" s="310"/>
      <c r="G15" s="304"/>
      <c r="H15" s="790" t="s">
        <v>403</v>
      </c>
      <c r="I15" s="791"/>
      <c r="J15" s="379">
        <f t="shared" si="1"/>
        <v>24275580</v>
      </c>
    </row>
    <row r="16" spans="1:10" s="379" customFormat="1" ht="16.5">
      <c r="A16" s="303"/>
      <c r="B16" s="378" t="s">
        <v>404</v>
      </c>
      <c r="C16" s="363">
        <v>116078564</v>
      </c>
      <c r="D16" s="363"/>
      <c r="E16" s="370">
        <f t="shared" si="2"/>
        <v>116078564</v>
      </c>
      <c r="F16" s="310"/>
      <c r="G16" s="304"/>
      <c r="H16" s="790" t="s">
        <v>20</v>
      </c>
      <c r="I16" s="791"/>
      <c r="J16" s="379">
        <f t="shared" si="1"/>
        <v>0</v>
      </c>
    </row>
    <row r="17" spans="1:10" s="380" customFormat="1" ht="16.5">
      <c r="A17" s="303"/>
      <c r="B17" s="378" t="s">
        <v>405</v>
      </c>
      <c r="C17" s="363">
        <v>214368</v>
      </c>
      <c r="D17" s="363"/>
      <c r="E17" s="370">
        <f>C17+D17</f>
        <v>214368</v>
      </c>
      <c r="F17" s="310"/>
      <c r="G17" s="304"/>
      <c r="H17" s="790" t="s">
        <v>406</v>
      </c>
      <c r="I17" s="791"/>
      <c r="J17" s="379">
        <f t="shared" si="1"/>
        <v>0</v>
      </c>
    </row>
    <row r="18" spans="1:10" s="380" customFormat="1" ht="16.5">
      <c r="A18" s="792" t="s">
        <v>407</v>
      </c>
      <c r="B18" s="791"/>
      <c r="C18" s="371">
        <f>SUM(C19:C28)</f>
        <v>117794097</v>
      </c>
      <c r="D18" s="371">
        <f>SUM(D19:D28)</f>
        <v>24195958</v>
      </c>
      <c r="E18" s="371">
        <f>SUM(E19:E28)</f>
        <v>141990055</v>
      </c>
      <c r="F18" s="311"/>
      <c r="G18" s="792" t="s">
        <v>408</v>
      </c>
      <c r="H18" s="790"/>
      <c r="I18" s="791"/>
      <c r="J18" s="379">
        <f t="shared" si="1"/>
        <v>24195958</v>
      </c>
    </row>
    <row r="19" spans="1:10" s="380" customFormat="1" ht="16.5">
      <c r="A19" s="303"/>
      <c r="B19" s="378" t="s">
        <v>409</v>
      </c>
      <c r="C19" s="363">
        <v>114913792</v>
      </c>
      <c r="D19" s="363"/>
      <c r="E19" s="370">
        <f>C19+D19</f>
        <v>114913792</v>
      </c>
      <c r="F19" s="310"/>
      <c r="G19" s="304"/>
      <c r="H19" s="790" t="s">
        <v>410</v>
      </c>
      <c r="I19" s="791"/>
      <c r="J19" s="379">
        <f t="shared" si="1"/>
        <v>0</v>
      </c>
    </row>
    <row r="20" spans="1:10" s="380" customFormat="1" ht="16.5">
      <c r="A20" s="303"/>
      <c r="B20" s="378" t="s">
        <v>411</v>
      </c>
      <c r="C20" s="363">
        <v>2298431</v>
      </c>
      <c r="D20" s="363">
        <v>413617</v>
      </c>
      <c r="E20" s="370">
        <f>C20+D20</f>
        <v>2712048</v>
      </c>
      <c r="F20" s="310"/>
      <c r="G20" s="304"/>
      <c r="H20" s="377" t="s">
        <v>412</v>
      </c>
      <c r="I20" s="378"/>
      <c r="J20" s="379"/>
    </row>
    <row r="21" spans="1:10" s="380" customFormat="1" ht="16.5">
      <c r="A21" s="303"/>
      <c r="B21" s="378" t="s">
        <v>413</v>
      </c>
      <c r="C21" s="363">
        <v>333652</v>
      </c>
      <c r="D21" s="363">
        <v>-333652</v>
      </c>
      <c r="E21" s="370">
        <f t="shared" ref="E21:E33" si="3">C21+D21</f>
        <v>0</v>
      </c>
      <c r="F21" s="310"/>
      <c r="G21" s="304"/>
      <c r="H21" s="377"/>
      <c r="I21" s="378"/>
      <c r="J21" s="379"/>
    </row>
    <row r="22" spans="1:10" s="380" customFormat="1" ht="16.5">
      <c r="A22" s="303"/>
      <c r="B22" s="378" t="s">
        <v>414</v>
      </c>
      <c r="C22" s="363">
        <v>8400</v>
      </c>
      <c r="D22" s="363">
        <v>-8400</v>
      </c>
      <c r="E22" s="370">
        <f t="shared" si="3"/>
        <v>0</v>
      </c>
      <c r="F22" s="310"/>
      <c r="G22" s="304"/>
      <c r="H22" s="377"/>
      <c r="I22" s="378"/>
      <c r="J22" s="379"/>
    </row>
    <row r="23" spans="1:10" s="380" customFormat="1" ht="16.5" hidden="1">
      <c r="A23" s="303"/>
      <c r="B23" s="378" t="s">
        <v>415</v>
      </c>
      <c r="C23" s="363"/>
      <c r="D23" s="363"/>
      <c r="E23" s="370">
        <f t="shared" si="3"/>
        <v>0</v>
      </c>
      <c r="F23" s="310"/>
      <c r="G23" s="304"/>
      <c r="H23" s="377"/>
      <c r="I23" s="378"/>
      <c r="J23" s="379"/>
    </row>
    <row r="24" spans="1:10" s="380" customFormat="1" ht="33">
      <c r="A24" s="303"/>
      <c r="B24" s="378" t="s">
        <v>416</v>
      </c>
      <c r="C24" s="363">
        <v>71565</v>
      </c>
      <c r="D24" s="363">
        <v>-71565</v>
      </c>
      <c r="E24" s="370">
        <f t="shared" si="3"/>
        <v>0</v>
      </c>
      <c r="F24" s="310"/>
      <c r="G24" s="304"/>
      <c r="H24" s="377"/>
      <c r="I24" s="378"/>
      <c r="J24" s="379"/>
    </row>
    <row r="25" spans="1:10" s="380" customFormat="1" ht="16.5">
      <c r="A25" s="303"/>
      <c r="B25" s="378"/>
      <c r="C25" s="363"/>
      <c r="D25" s="363">
        <v>2351</v>
      </c>
      <c r="E25" s="370">
        <f t="shared" si="3"/>
        <v>2351</v>
      </c>
      <c r="F25" s="310"/>
      <c r="G25" s="304"/>
      <c r="H25" s="377" t="s">
        <v>417</v>
      </c>
      <c r="I25" s="378"/>
      <c r="J25" s="379"/>
    </row>
    <row r="26" spans="1:10" s="380" customFormat="1" ht="33">
      <c r="A26" s="303"/>
      <c r="B26" s="378" t="s">
        <v>457</v>
      </c>
      <c r="C26" s="363">
        <v>122000</v>
      </c>
      <c r="D26" s="363">
        <v>-122000</v>
      </c>
      <c r="E26" s="370"/>
      <c r="F26" s="310"/>
      <c r="G26" s="304"/>
      <c r="H26" s="377"/>
      <c r="I26" s="378"/>
      <c r="J26" s="379"/>
    </row>
    <row r="27" spans="1:10" s="380" customFormat="1" ht="16.5">
      <c r="A27" s="303"/>
      <c r="B27" s="313"/>
      <c r="C27" s="363"/>
      <c r="D27" s="363">
        <v>9913197</v>
      </c>
      <c r="E27" s="370">
        <f t="shared" si="3"/>
        <v>9913197</v>
      </c>
      <c r="F27" s="310"/>
      <c r="G27" s="304"/>
      <c r="H27" s="790" t="s">
        <v>418</v>
      </c>
      <c r="I27" s="791"/>
      <c r="J27" s="379">
        <f t="shared" si="1"/>
        <v>9913197</v>
      </c>
    </row>
    <row r="28" spans="1:10" s="380" customFormat="1" ht="16.5">
      <c r="A28" s="303"/>
      <c r="B28" s="313" t="s">
        <v>419</v>
      </c>
      <c r="C28" s="363">
        <v>46257</v>
      </c>
      <c r="D28" s="363">
        <v>14402410</v>
      </c>
      <c r="E28" s="370">
        <f t="shared" si="3"/>
        <v>14448667</v>
      </c>
      <c r="F28" s="310"/>
      <c r="G28" s="304"/>
      <c r="H28" s="377" t="s">
        <v>420</v>
      </c>
      <c r="I28" s="378"/>
      <c r="J28" s="379"/>
    </row>
    <row r="29" spans="1:10" s="380" customFormat="1" ht="16.5">
      <c r="A29" s="780" t="s">
        <v>320</v>
      </c>
      <c r="B29" s="780"/>
      <c r="C29" s="369">
        <f>C13-C18</f>
        <v>-1240605</v>
      </c>
      <c r="D29" s="369">
        <f>D13-D18</f>
        <v>79622</v>
      </c>
      <c r="E29" s="369">
        <f>E13-E18</f>
        <v>-1160983</v>
      </c>
      <c r="F29" s="310"/>
      <c r="G29" s="781" t="s">
        <v>320</v>
      </c>
      <c r="H29" s="782"/>
      <c r="I29" s="783"/>
      <c r="J29" s="379">
        <f t="shared" si="1"/>
        <v>79622</v>
      </c>
    </row>
    <row r="30" spans="1:10" s="380" customFormat="1" ht="16.5">
      <c r="A30" s="780" t="s">
        <v>24</v>
      </c>
      <c r="B30" s="780"/>
      <c r="C30" s="414">
        <f>[3]對照表!$C32</f>
        <v>8411034</v>
      </c>
      <c r="D30" s="414">
        <f>[3]對照表!$D32</f>
        <v>333279734</v>
      </c>
      <c r="E30" s="371">
        <f t="shared" si="3"/>
        <v>341690768</v>
      </c>
      <c r="F30" s="311"/>
      <c r="G30" s="781" t="s">
        <v>318</v>
      </c>
      <c r="H30" s="782"/>
      <c r="I30" s="783"/>
      <c r="J30" s="379">
        <f t="shared" si="1"/>
        <v>333279734</v>
      </c>
    </row>
    <row r="31" spans="1:10" s="380" customFormat="1" ht="16.5">
      <c r="A31" s="780" t="s">
        <v>319</v>
      </c>
      <c r="B31" s="780"/>
      <c r="C31" s="368"/>
      <c r="D31" s="368"/>
      <c r="E31" s="369">
        <f t="shared" si="3"/>
        <v>0</v>
      </c>
      <c r="F31" s="310"/>
      <c r="G31" s="781" t="s">
        <v>319</v>
      </c>
      <c r="H31" s="782"/>
      <c r="I31" s="783"/>
      <c r="J31" s="379">
        <f t="shared" si="1"/>
        <v>0</v>
      </c>
    </row>
    <row r="32" spans="1:10" s="380" customFormat="1" ht="16.5">
      <c r="A32" s="435"/>
      <c r="B32" s="436"/>
      <c r="C32" s="368"/>
      <c r="D32" s="368">
        <f>VLOOKUP(G32,平衡!$M$13:T48,8,0)</f>
        <v>2586362</v>
      </c>
      <c r="E32" s="369">
        <f t="shared" si="3"/>
        <v>2586362</v>
      </c>
      <c r="F32" s="310"/>
      <c r="G32" s="781" t="s">
        <v>444</v>
      </c>
      <c r="H32" s="788"/>
      <c r="I32" s="789"/>
      <c r="J32" s="379"/>
    </row>
    <row r="33" spans="1:10" s="380" customFormat="1" ht="16.5">
      <c r="A33" s="784" t="s">
        <v>26</v>
      </c>
      <c r="B33" s="784"/>
      <c r="C33" s="372">
        <f>C29+C30-C31</f>
        <v>7170429</v>
      </c>
      <c r="D33" s="372">
        <f>D29+D30-D31+D32</f>
        <v>335945718</v>
      </c>
      <c r="E33" s="372">
        <f t="shared" si="3"/>
        <v>343116147</v>
      </c>
      <c r="F33" s="312"/>
      <c r="G33" s="785" t="s">
        <v>321</v>
      </c>
      <c r="H33" s="786"/>
      <c r="I33" s="787"/>
      <c r="J33" s="379">
        <f t="shared" si="1"/>
        <v>335945718</v>
      </c>
    </row>
    <row r="34" spans="1:10" s="379" customFormat="1" ht="12.75" hidden="1" customHeight="1">
      <c r="A34" s="380"/>
      <c r="B34" s="380"/>
      <c r="C34" s="380"/>
      <c r="D34" s="380"/>
      <c r="E34" s="380"/>
      <c r="F34" s="380"/>
      <c r="G34" s="380"/>
      <c r="H34" s="380"/>
    </row>
    <row r="35" spans="1:10" s="380" customFormat="1" ht="19.5" customHeight="1">
      <c r="A35" s="305" t="s">
        <v>421</v>
      </c>
    </row>
  </sheetData>
  <mergeCells count="28"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  <mergeCell ref="H17:I17"/>
    <mergeCell ref="H16:I16"/>
    <mergeCell ref="G18:I18"/>
    <mergeCell ref="H19:I19"/>
    <mergeCell ref="H27:I27"/>
    <mergeCell ref="A30:B30"/>
    <mergeCell ref="G30:I30"/>
    <mergeCell ref="A31:B31"/>
    <mergeCell ref="G31:I31"/>
    <mergeCell ref="A33:B33"/>
    <mergeCell ref="G33:I33"/>
    <mergeCell ref="G32:I3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C16" sqref="C16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96" t="str">
        <f>封面!$A$4</f>
        <v>彰化縣地方教育發展基金－彰化縣彰化市民生國民小學</v>
      </c>
      <c r="B1" s="797"/>
      <c r="C1" s="797"/>
    </row>
    <row r="2" spans="1:5" ht="25.5" customHeight="1">
      <c r="A2" s="798" t="s">
        <v>70</v>
      </c>
      <c r="B2" s="798"/>
      <c r="C2" s="798"/>
    </row>
    <row r="3" spans="1:5" ht="24" customHeight="1">
      <c r="A3" s="799" t="str">
        <f>封面!$E$10&amp;封面!$H$10&amp;封面!$I$10&amp;封面!$J$10&amp;封面!$K$10&amp;封面!$O$10&amp;"日"</f>
        <v>中華民國113年9月30日</v>
      </c>
      <c r="B3" s="799"/>
      <c r="C3" s="799"/>
    </row>
    <row r="4" spans="1:5" s="24" customFormat="1" ht="23.25" customHeight="1">
      <c r="A4" s="800"/>
      <c r="B4" s="800" t="s">
        <v>71</v>
      </c>
      <c r="C4" s="800"/>
    </row>
    <row r="5" spans="1:5" s="24" customFormat="1" ht="23.25" customHeight="1">
      <c r="A5" s="800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7110429</v>
      </c>
    </row>
    <row r="7" spans="1:5" ht="24" customHeight="1">
      <c r="A7" s="191" t="s">
        <v>194</v>
      </c>
      <c r="B7" s="97">
        <f>VLOOKUP("銀行存款-縣庫存款",平衡!$E$13:$H$48,4,0)</f>
        <v>7110429</v>
      </c>
      <c r="C7" s="97"/>
    </row>
    <row r="8" spans="1:5" ht="24" customHeight="1">
      <c r="A8" s="90" t="s">
        <v>151</v>
      </c>
      <c r="B8" s="97"/>
      <c r="C8" s="329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2"/>
      <c r="B11" s="97"/>
      <c r="C11" s="97"/>
    </row>
    <row r="12" spans="1:5" ht="24" customHeight="1">
      <c r="A12" s="192"/>
      <c r="B12" s="97"/>
      <c r="C12" s="97"/>
    </row>
    <row r="13" spans="1:5" ht="24" customHeight="1">
      <c r="A13" s="192"/>
      <c r="B13" s="97"/>
      <c r="C13" s="315"/>
      <c r="D13" s="316"/>
      <c r="E13" s="316"/>
    </row>
    <row r="14" spans="1:5" ht="24" customHeight="1">
      <c r="A14" s="192"/>
      <c r="B14" s="97"/>
      <c r="C14" s="315"/>
      <c r="D14" s="316"/>
      <c r="E14" s="316"/>
    </row>
    <row r="15" spans="1:5" ht="24" customHeight="1">
      <c r="A15" s="25" t="s">
        <v>77</v>
      </c>
      <c r="B15" s="97"/>
      <c r="C15" s="329">
        <f>SUM(B16:B17)</f>
        <v>9596000</v>
      </c>
      <c r="D15" s="316"/>
      <c r="E15" s="316"/>
    </row>
    <row r="16" spans="1:5" ht="24" customHeight="1">
      <c r="A16" s="243" t="str">
        <f>IF(B16&gt;0,封面!J10+1&amp;"月公庫撥款收入","")</f>
        <v>10月公庫撥款收入</v>
      </c>
      <c r="B16" s="97">
        <f>縣庫對帳!G23</f>
        <v>9596000</v>
      </c>
      <c r="C16" s="315"/>
      <c r="D16" s="316"/>
      <c r="E16" s="316"/>
    </row>
    <row r="17" spans="1:5" ht="24" customHeight="1">
      <c r="A17" s="191"/>
      <c r="B17" s="97"/>
      <c r="C17" s="315"/>
      <c r="D17" s="316"/>
      <c r="E17" s="316"/>
    </row>
    <row r="18" spans="1:5" ht="24" customHeight="1">
      <c r="A18" s="25" t="s">
        <v>78</v>
      </c>
      <c r="B18" s="97"/>
      <c r="C18" s="329">
        <f>SUM(B19:B20)</f>
        <v>0</v>
      </c>
      <c r="D18" s="316"/>
      <c r="E18" s="316"/>
    </row>
    <row r="19" spans="1:5" ht="24" customHeight="1">
      <c r="A19" s="192"/>
      <c r="B19" s="97"/>
      <c r="C19" s="315"/>
      <c r="D19" s="316"/>
      <c r="E19" s="316"/>
    </row>
    <row r="20" spans="1:5" ht="24" customHeight="1">
      <c r="A20" s="191"/>
      <c r="B20" s="97"/>
      <c r="C20" s="315"/>
      <c r="D20" s="316"/>
      <c r="E20" s="316"/>
    </row>
    <row r="21" spans="1:5" ht="24" customHeight="1">
      <c r="A21" s="25" t="s">
        <v>79</v>
      </c>
      <c r="B21" s="97"/>
      <c r="C21" s="329">
        <f>SUM(B22:B23)</f>
        <v>0</v>
      </c>
      <c r="D21" s="316"/>
      <c r="E21" s="316"/>
    </row>
    <row r="22" spans="1:5" ht="24" customHeight="1">
      <c r="A22" s="191"/>
      <c r="B22" s="97"/>
      <c r="C22" s="315"/>
      <c r="D22" s="316"/>
      <c r="E22" s="316"/>
    </row>
    <row r="23" spans="1:5" ht="24" customHeight="1">
      <c r="A23" s="191"/>
      <c r="B23" s="97"/>
      <c r="C23" s="97"/>
    </row>
    <row r="24" spans="1:5" ht="24" customHeight="1">
      <c r="A24" s="25" t="s">
        <v>182</v>
      </c>
      <c r="B24" s="97"/>
      <c r="C24" s="98">
        <f>C6+C8+C15-C18-C21</f>
        <v>16706429</v>
      </c>
      <c r="D24" s="22">
        <f>VLOOKUP(1,縣庫對帳!$A$4:$L$100,12)</f>
        <v>16706429</v>
      </c>
      <c r="E24" s="22">
        <f>C24-D24</f>
        <v>0</v>
      </c>
    </row>
    <row r="25" spans="1:5" ht="24" customHeight="1">
      <c r="A25" s="191"/>
      <c r="B25" s="97"/>
      <c r="C25" s="97"/>
    </row>
    <row r="27" spans="1:5">
      <c r="A27" s="795"/>
      <c r="B27" s="795"/>
      <c r="C27" s="795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39" priority="1" stopIfTrue="1" operator="notEqual">
      <formula>$D$24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7" activePane="bottomRight" state="frozen"/>
      <selection activeCell="C16" sqref="C16"/>
      <selection pane="topRight" activeCell="C16" sqref="C16"/>
      <selection pane="bottomLeft" activeCell="C16" sqref="C16"/>
      <selection pane="bottomRight" activeCell="C16" sqref="C16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12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7"/>
      <c r="B1" s="801" t="s">
        <v>455</v>
      </c>
      <c r="C1" s="801"/>
      <c r="D1" s="801"/>
      <c r="E1" s="801"/>
      <c r="F1" s="801"/>
      <c r="G1" s="801"/>
      <c r="H1" s="801"/>
      <c r="I1" s="801"/>
      <c r="J1" s="801"/>
      <c r="K1" s="801"/>
      <c r="L1" s="801"/>
      <c r="M1" s="127"/>
      <c r="N1" s="46"/>
      <c r="O1" s="46"/>
      <c r="P1" s="46"/>
      <c r="Q1" s="408"/>
      <c r="R1" s="46"/>
      <c r="S1" s="46"/>
      <c r="T1" s="46"/>
      <c r="U1" s="46"/>
      <c r="V1" s="47"/>
    </row>
    <row r="2" spans="1:22" s="48" customFormat="1" ht="33">
      <c r="A2" s="127"/>
      <c r="B2" s="802" t="str">
        <f>封面!$E$10&amp;封面!$H$10&amp;封面!$I$10&amp;封面!$J$10&amp;封面!$K$10&amp;封面!L10</f>
        <v>中華民國113年9月份</v>
      </c>
      <c r="C2" s="802"/>
      <c r="D2" s="802"/>
      <c r="E2" s="802"/>
      <c r="F2" s="802"/>
      <c r="G2" s="802"/>
      <c r="H2" s="802"/>
      <c r="I2" s="802"/>
      <c r="J2" s="802"/>
      <c r="K2" s="802"/>
      <c r="L2" s="802"/>
      <c r="M2" s="128"/>
      <c r="N2" s="133" t="s">
        <v>157</v>
      </c>
      <c r="O2" s="133"/>
      <c r="P2" s="133" t="s">
        <v>156</v>
      </c>
      <c r="Q2" s="409"/>
    </row>
    <row r="3" spans="1:22" s="56" customFormat="1">
      <c r="B3" s="153" t="s">
        <v>170</v>
      </c>
      <c r="C3" s="153" t="s">
        <v>171</v>
      </c>
      <c r="D3" s="153" t="s">
        <v>172</v>
      </c>
      <c r="E3" s="154" t="s">
        <v>173</v>
      </c>
      <c r="F3" s="154" t="s">
        <v>80</v>
      </c>
      <c r="G3" s="155" t="s">
        <v>174</v>
      </c>
      <c r="H3" s="156" t="s">
        <v>175</v>
      </c>
      <c r="I3" s="156" t="s">
        <v>4</v>
      </c>
      <c r="J3" s="156" t="s">
        <v>176</v>
      </c>
      <c r="K3" s="156" t="s">
        <v>177</v>
      </c>
      <c r="L3" s="156" t="s">
        <v>81</v>
      </c>
      <c r="M3" s="57"/>
      <c r="N3" s="167">
        <f>VLOOKUP(1,$A$4:$L$98,10,0)-N4+N5-P9</f>
        <v>116553492</v>
      </c>
      <c r="O3" s="167"/>
      <c r="P3" s="167" t="e">
        <f>VLOOKUP(1,$A$4:$L$98,11,0)-P4+P5-P6+P7-P8-P9</f>
        <v>#N/A</v>
      </c>
      <c r="Q3" s="58"/>
    </row>
    <row r="4" spans="1:22">
      <c r="B4" s="157" t="s">
        <v>704</v>
      </c>
      <c r="C4" s="158" t="s">
        <v>705</v>
      </c>
      <c r="D4" s="158" t="s">
        <v>706</v>
      </c>
      <c r="E4" s="158" t="s">
        <v>706</v>
      </c>
      <c r="F4" s="158" t="s">
        <v>706</v>
      </c>
      <c r="G4" s="158" t="s">
        <v>706</v>
      </c>
      <c r="H4" s="158" t="s">
        <v>707</v>
      </c>
      <c r="I4" s="159" t="s">
        <v>706</v>
      </c>
      <c r="J4" s="159">
        <v>125210760</v>
      </c>
      <c r="K4" s="159">
        <v>108665101</v>
      </c>
      <c r="L4" s="159">
        <v>16545659</v>
      </c>
      <c r="M4" s="190" t="s">
        <v>184</v>
      </c>
      <c r="N4" s="168">
        <v>8754938</v>
      </c>
      <c r="O4" s="169" t="s">
        <v>185</v>
      </c>
      <c r="P4" s="170">
        <f>VLOOKUP("零用及週轉金",平衡!$D$13:$H$49,5,0)</f>
        <v>60000</v>
      </c>
      <c r="Q4" s="410"/>
    </row>
    <row r="5" spans="1:22">
      <c r="B5" s="157" t="s">
        <v>704</v>
      </c>
      <c r="C5" s="158" t="s">
        <v>705</v>
      </c>
      <c r="D5" s="158" t="s">
        <v>708</v>
      </c>
      <c r="E5" s="158" t="s">
        <v>709</v>
      </c>
      <c r="F5" s="158" t="s">
        <v>710</v>
      </c>
      <c r="G5" s="158" t="s">
        <v>706</v>
      </c>
      <c r="H5" s="158" t="s">
        <v>711</v>
      </c>
      <c r="I5" s="159">
        <v>546796</v>
      </c>
      <c r="J5" s="159">
        <v>125210760</v>
      </c>
      <c r="K5" s="159">
        <v>109211897</v>
      </c>
      <c r="L5" s="159">
        <v>15998863</v>
      </c>
      <c r="M5" s="169" t="s">
        <v>186</v>
      </c>
      <c r="N5" s="170">
        <f>-庫款差額!C15+庫款差額!C18</f>
        <v>-9596000</v>
      </c>
      <c r="O5" s="169" t="s">
        <v>186</v>
      </c>
      <c r="P5" s="170">
        <f>庫款差額!C8-庫款差額!C21</f>
        <v>0</v>
      </c>
      <c r="Q5" s="410"/>
    </row>
    <row r="6" spans="1:22" ht="22.5">
      <c r="B6" s="157" t="s">
        <v>704</v>
      </c>
      <c r="C6" s="158" t="s">
        <v>705</v>
      </c>
      <c r="D6" s="158" t="s">
        <v>712</v>
      </c>
      <c r="E6" s="157" t="s">
        <v>713</v>
      </c>
      <c r="F6" s="157" t="s">
        <v>714</v>
      </c>
      <c r="G6" s="158" t="s">
        <v>706</v>
      </c>
      <c r="H6" s="158" t="s">
        <v>711</v>
      </c>
      <c r="I6" s="159">
        <v>123741</v>
      </c>
      <c r="J6" s="159">
        <v>125210760</v>
      </c>
      <c r="K6" s="159">
        <v>109335638</v>
      </c>
      <c r="L6" s="159">
        <v>15875122</v>
      </c>
      <c r="M6" s="99"/>
      <c r="N6" s="171"/>
      <c r="O6" s="172" t="s">
        <v>190</v>
      </c>
      <c r="P6" s="170">
        <v>343904</v>
      </c>
      <c r="Q6" s="410"/>
    </row>
    <row r="7" spans="1:22" ht="22.5">
      <c r="B7" s="157" t="s">
        <v>704</v>
      </c>
      <c r="C7" s="158" t="s">
        <v>705</v>
      </c>
      <c r="D7" s="158" t="s">
        <v>712</v>
      </c>
      <c r="E7" s="157" t="s">
        <v>715</v>
      </c>
      <c r="F7" s="157" t="s">
        <v>716</v>
      </c>
      <c r="G7" s="158" t="s">
        <v>706</v>
      </c>
      <c r="H7" s="158" t="s">
        <v>711</v>
      </c>
      <c r="I7" s="159">
        <v>11200</v>
      </c>
      <c r="J7" s="159">
        <v>125210760</v>
      </c>
      <c r="K7" s="159">
        <v>109346838</v>
      </c>
      <c r="L7" s="159">
        <v>15863922</v>
      </c>
      <c r="M7" s="99"/>
      <c r="N7" s="171"/>
      <c r="O7" s="172" t="s">
        <v>191</v>
      </c>
      <c r="P7" s="170">
        <f>IF(Q7=0,0,VLOOKUP("應付費用",平衡!$N$13:$T$48,7,0))</f>
        <v>0</v>
      </c>
      <c r="Q7" s="410"/>
    </row>
    <row r="8" spans="1:22">
      <c r="B8" s="157" t="s">
        <v>704</v>
      </c>
      <c r="C8" s="158" t="s">
        <v>705</v>
      </c>
      <c r="D8" s="158" t="s">
        <v>712</v>
      </c>
      <c r="E8" s="157" t="s">
        <v>717</v>
      </c>
      <c r="F8" s="157" t="s">
        <v>718</v>
      </c>
      <c r="G8" s="158" t="s">
        <v>706</v>
      </c>
      <c r="H8" s="158" t="s">
        <v>711</v>
      </c>
      <c r="I8" s="159">
        <v>29450</v>
      </c>
      <c r="J8" s="159">
        <v>125210760</v>
      </c>
      <c r="K8" s="159">
        <v>109376288</v>
      </c>
      <c r="L8" s="159">
        <v>15834472</v>
      </c>
      <c r="M8" s="99"/>
      <c r="N8" s="171"/>
      <c r="O8" s="170" t="s">
        <v>445</v>
      </c>
      <c r="P8" s="170" t="e">
        <f>VLOOKUP("預付費用",平衡!$D$13:$H$46,5,0)</f>
        <v>#N/A</v>
      </c>
      <c r="Q8" s="410"/>
    </row>
    <row r="9" spans="1:22">
      <c r="B9" s="157" t="s">
        <v>704</v>
      </c>
      <c r="C9" s="158" t="s">
        <v>705</v>
      </c>
      <c r="D9" s="158" t="s">
        <v>719</v>
      </c>
      <c r="E9" s="157" t="s">
        <v>720</v>
      </c>
      <c r="F9" s="157" t="s">
        <v>721</v>
      </c>
      <c r="G9" s="158" t="s">
        <v>706</v>
      </c>
      <c r="H9" s="158" t="s">
        <v>711</v>
      </c>
      <c r="I9" s="159">
        <v>10000</v>
      </c>
      <c r="J9" s="159">
        <v>125210760</v>
      </c>
      <c r="K9" s="159">
        <v>109386288</v>
      </c>
      <c r="L9" s="159">
        <v>15824472</v>
      </c>
      <c r="M9" s="99"/>
      <c r="N9" s="27"/>
      <c r="O9" s="170" t="s">
        <v>187</v>
      </c>
      <c r="P9" s="170"/>
      <c r="Q9" s="410"/>
    </row>
    <row r="10" spans="1:22">
      <c r="B10" s="157" t="s">
        <v>704</v>
      </c>
      <c r="C10" s="158" t="s">
        <v>705</v>
      </c>
      <c r="D10" s="158" t="s">
        <v>719</v>
      </c>
      <c r="E10" s="157" t="s">
        <v>722</v>
      </c>
      <c r="F10" s="157" t="s">
        <v>723</v>
      </c>
      <c r="G10" s="158" t="s">
        <v>706</v>
      </c>
      <c r="H10" s="158" t="s">
        <v>711</v>
      </c>
      <c r="I10" s="159">
        <v>17325</v>
      </c>
      <c r="J10" s="159">
        <v>125210760</v>
      </c>
      <c r="K10" s="159">
        <v>109403613</v>
      </c>
      <c r="L10" s="159">
        <v>15807147</v>
      </c>
      <c r="M10" s="99"/>
      <c r="N10" s="27"/>
      <c r="O10" s="27"/>
      <c r="P10" s="27"/>
      <c r="Q10" s="410"/>
    </row>
    <row r="11" spans="1:22">
      <c r="B11" s="157" t="s">
        <v>704</v>
      </c>
      <c r="C11" s="158" t="s">
        <v>705</v>
      </c>
      <c r="D11" s="158" t="s">
        <v>719</v>
      </c>
      <c r="E11" s="157" t="s">
        <v>724</v>
      </c>
      <c r="F11" s="157" t="s">
        <v>725</v>
      </c>
      <c r="G11" s="158" t="s">
        <v>706</v>
      </c>
      <c r="H11" s="158" t="s">
        <v>711</v>
      </c>
      <c r="I11" s="159">
        <v>45000</v>
      </c>
      <c r="J11" s="159">
        <v>125210760</v>
      </c>
      <c r="K11" s="159">
        <v>109448613</v>
      </c>
      <c r="L11" s="159">
        <v>15762147</v>
      </c>
      <c r="M11" s="99"/>
      <c r="N11" s="27"/>
      <c r="O11" s="27"/>
      <c r="P11" s="27"/>
      <c r="Q11" s="410"/>
    </row>
    <row r="12" spans="1:22">
      <c r="B12" s="157" t="s">
        <v>704</v>
      </c>
      <c r="C12" s="158" t="s">
        <v>705</v>
      </c>
      <c r="D12" s="158" t="s">
        <v>726</v>
      </c>
      <c r="E12" s="157" t="s">
        <v>727</v>
      </c>
      <c r="F12" s="157" t="s">
        <v>728</v>
      </c>
      <c r="G12" s="158" t="s">
        <v>706</v>
      </c>
      <c r="H12" s="158" t="s">
        <v>711</v>
      </c>
      <c r="I12" s="159">
        <v>58536</v>
      </c>
      <c r="J12" s="159">
        <v>125210760</v>
      </c>
      <c r="K12" s="159">
        <v>109507149</v>
      </c>
      <c r="L12" s="159">
        <v>15703611</v>
      </c>
      <c r="M12" s="99"/>
      <c r="N12" s="27"/>
      <c r="O12" s="27"/>
      <c r="P12" s="27"/>
      <c r="Q12" s="410"/>
    </row>
    <row r="13" spans="1:22">
      <c r="B13" s="157" t="s">
        <v>704</v>
      </c>
      <c r="C13" s="314" t="s">
        <v>705</v>
      </c>
      <c r="D13" s="314" t="s">
        <v>729</v>
      </c>
      <c r="E13" s="314" t="s">
        <v>730</v>
      </c>
      <c r="F13" s="157" t="s">
        <v>731</v>
      </c>
      <c r="G13" s="158" t="s">
        <v>706</v>
      </c>
      <c r="H13" s="158" t="s">
        <v>711</v>
      </c>
      <c r="I13" s="159">
        <v>15000</v>
      </c>
      <c r="J13" s="159">
        <v>125210760</v>
      </c>
      <c r="K13" s="159">
        <v>109522149</v>
      </c>
      <c r="L13" s="159">
        <v>15688611</v>
      </c>
      <c r="M13" s="99"/>
      <c r="N13" s="27"/>
      <c r="O13" s="27"/>
      <c r="P13" s="27"/>
      <c r="Q13" s="410"/>
    </row>
    <row r="14" spans="1:22">
      <c r="B14" s="157" t="s">
        <v>704</v>
      </c>
      <c r="C14" s="314" t="s">
        <v>705</v>
      </c>
      <c r="D14" s="314" t="s">
        <v>729</v>
      </c>
      <c r="E14" s="314" t="s">
        <v>732</v>
      </c>
      <c r="F14" s="157" t="s">
        <v>733</v>
      </c>
      <c r="G14" s="158" t="s">
        <v>706</v>
      </c>
      <c r="H14" s="158" t="s">
        <v>711</v>
      </c>
      <c r="I14" s="159">
        <v>104511</v>
      </c>
      <c r="J14" s="159">
        <v>125210760</v>
      </c>
      <c r="K14" s="159">
        <v>109626660</v>
      </c>
      <c r="L14" s="159">
        <v>15584100</v>
      </c>
      <c r="M14" s="99"/>
      <c r="N14" s="27"/>
      <c r="O14" s="27"/>
      <c r="P14" s="27"/>
      <c r="Q14" s="410"/>
    </row>
    <row r="15" spans="1:22">
      <c r="B15" s="157" t="s">
        <v>704</v>
      </c>
      <c r="C15" s="314" t="s">
        <v>705</v>
      </c>
      <c r="D15" s="314" t="s">
        <v>734</v>
      </c>
      <c r="E15" s="314" t="s">
        <v>735</v>
      </c>
      <c r="F15" s="157" t="s">
        <v>736</v>
      </c>
      <c r="G15" s="158" t="s">
        <v>706</v>
      </c>
      <c r="H15" s="158" t="s">
        <v>711</v>
      </c>
      <c r="I15" s="159">
        <v>19288</v>
      </c>
      <c r="J15" s="159">
        <v>125210760</v>
      </c>
      <c r="K15" s="159">
        <v>109645948</v>
      </c>
      <c r="L15" s="159">
        <v>15564812</v>
      </c>
      <c r="M15" s="99"/>
      <c r="N15" s="27"/>
      <c r="O15" s="27"/>
      <c r="P15" s="27"/>
      <c r="Q15" s="410"/>
    </row>
    <row r="16" spans="1:22">
      <c r="B16" s="157" t="s">
        <v>704</v>
      </c>
      <c r="C16" s="314" t="s">
        <v>705</v>
      </c>
      <c r="D16" s="314" t="s">
        <v>737</v>
      </c>
      <c r="E16" s="314" t="s">
        <v>738</v>
      </c>
      <c r="F16" s="157" t="s">
        <v>739</v>
      </c>
      <c r="G16" s="158" t="s">
        <v>706</v>
      </c>
      <c r="H16" s="158" t="s">
        <v>711</v>
      </c>
      <c r="I16" s="159">
        <v>24891</v>
      </c>
      <c r="J16" s="159">
        <v>125210760</v>
      </c>
      <c r="K16" s="159">
        <v>109670839</v>
      </c>
      <c r="L16" s="159">
        <v>15539921</v>
      </c>
      <c r="M16" s="99"/>
      <c r="N16" s="27"/>
      <c r="O16" s="27"/>
      <c r="P16" s="27"/>
      <c r="Q16" s="410"/>
    </row>
    <row r="17" spans="1:19">
      <c r="B17" s="160" t="s">
        <v>704</v>
      </c>
      <c r="C17" s="327" t="s">
        <v>705</v>
      </c>
      <c r="D17" s="327" t="s">
        <v>740</v>
      </c>
      <c r="E17" s="327" t="s">
        <v>741</v>
      </c>
      <c r="F17" s="160" t="s">
        <v>706</v>
      </c>
      <c r="G17" s="161">
        <v>45840</v>
      </c>
      <c r="H17" s="161" t="s">
        <v>742</v>
      </c>
      <c r="I17" s="161" t="s">
        <v>706</v>
      </c>
      <c r="J17" s="161">
        <v>125256600</v>
      </c>
      <c r="K17" s="161">
        <v>109670839</v>
      </c>
      <c r="L17" s="161">
        <v>15585761</v>
      </c>
      <c r="M17" s="99"/>
      <c r="N17" s="27"/>
      <c r="O17" s="27"/>
      <c r="P17" s="27"/>
      <c r="Q17" s="410"/>
    </row>
    <row r="18" spans="1:19">
      <c r="B18" s="160" t="s">
        <v>704</v>
      </c>
      <c r="C18" s="327" t="s">
        <v>705</v>
      </c>
      <c r="D18" s="327" t="s">
        <v>740</v>
      </c>
      <c r="E18" s="327" t="s">
        <v>741</v>
      </c>
      <c r="F18" s="160" t="s">
        <v>706</v>
      </c>
      <c r="G18" s="161">
        <v>500</v>
      </c>
      <c r="H18" s="161" t="s">
        <v>742</v>
      </c>
      <c r="I18" s="161" t="s">
        <v>706</v>
      </c>
      <c r="J18" s="161">
        <v>125257100</v>
      </c>
      <c r="K18" s="161">
        <v>109670839</v>
      </c>
      <c r="L18" s="161">
        <v>15586261</v>
      </c>
      <c r="M18" s="99"/>
      <c r="N18" s="27"/>
      <c r="O18" s="27"/>
      <c r="P18" s="27"/>
      <c r="Q18" s="410"/>
      <c r="S18" s="55"/>
    </row>
    <row r="19" spans="1:19" s="187" customFormat="1">
      <c r="A19" s="184"/>
      <c r="B19" s="160" t="s">
        <v>704</v>
      </c>
      <c r="C19" s="327" t="s">
        <v>705</v>
      </c>
      <c r="D19" s="327" t="s">
        <v>740</v>
      </c>
      <c r="E19" s="327" t="s">
        <v>741</v>
      </c>
      <c r="F19" s="160" t="s">
        <v>706</v>
      </c>
      <c r="G19" s="161">
        <v>6818</v>
      </c>
      <c r="H19" s="161" t="s">
        <v>742</v>
      </c>
      <c r="I19" s="161" t="s">
        <v>706</v>
      </c>
      <c r="J19" s="161">
        <v>125263918</v>
      </c>
      <c r="K19" s="161">
        <v>109670839</v>
      </c>
      <c r="L19" s="161">
        <v>15593079</v>
      </c>
      <c r="M19" s="185"/>
      <c r="N19" s="186"/>
      <c r="O19" s="27"/>
      <c r="P19" s="27"/>
      <c r="Q19" s="411"/>
    </row>
    <row r="20" spans="1:19" s="187" customFormat="1" ht="14.25">
      <c r="A20" s="184"/>
      <c r="B20" s="188" t="s">
        <v>704</v>
      </c>
      <c r="C20" s="328" t="s">
        <v>705</v>
      </c>
      <c r="D20" s="328" t="s">
        <v>743</v>
      </c>
      <c r="E20" s="328" t="s">
        <v>744</v>
      </c>
      <c r="F20" s="188" t="s">
        <v>745</v>
      </c>
      <c r="G20" s="185" t="s">
        <v>706</v>
      </c>
      <c r="H20" s="185" t="s">
        <v>711</v>
      </c>
      <c r="I20" s="185">
        <v>16000</v>
      </c>
      <c r="J20" s="185">
        <v>125263918</v>
      </c>
      <c r="K20" s="185">
        <v>109686839</v>
      </c>
      <c r="L20" s="185">
        <v>15577079</v>
      </c>
      <c r="M20" s="185"/>
      <c r="N20" s="186"/>
      <c r="O20" s="186"/>
      <c r="P20" s="186"/>
      <c r="Q20" s="411"/>
    </row>
    <row r="21" spans="1:19" s="187" customFormat="1" ht="14.25">
      <c r="A21" s="184"/>
      <c r="B21" s="188" t="s">
        <v>704</v>
      </c>
      <c r="C21" s="328" t="s">
        <v>705</v>
      </c>
      <c r="D21" s="328" t="s">
        <v>746</v>
      </c>
      <c r="E21" s="328" t="s">
        <v>747</v>
      </c>
      <c r="F21" s="188" t="s">
        <v>706</v>
      </c>
      <c r="G21" s="185">
        <v>44512</v>
      </c>
      <c r="H21" s="185" t="s">
        <v>742</v>
      </c>
      <c r="I21" s="185" t="s">
        <v>706</v>
      </c>
      <c r="J21" s="185">
        <v>125308430</v>
      </c>
      <c r="K21" s="185">
        <v>109686839</v>
      </c>
      <c r="L21" s="185">
        <v>15621591</v>
      </c>
      <c r="M21" s="185"/>
      <c r="N21" s="186"/>
      <c r="O21" s="186"/>
      <c r="P21" s="186"/>
      <c r="Q21" s="411"/>
    </row>
    <row r="22" spans="1:19" s="187" customFormat="1" ht="14.25">
      <c r="A22" s="184"/>
      <c r="B22" s="188" t="s">
        <v>704</v>
      </c>
      <c r="C22" s="328" t="s">
        <v>705</v>
      </c>
      <c r="D22" s="328" t="s">
        <v>746</v>
      </c>
      <c r="E22" s="328" t="s">
        <v>748</v>
      </c>
      <c r="F22" s="189" t="s">
        <v>749</v>
      </c>
      <c r="G22" s="185" t="s">
        <v>706</v>
      </c>
      <c r="H22" s="185" t="s">
        <v>711</v>
      </c>
      <c r="I22" s="185">
        <v>52680</v>
      </c>
      <c r="J22" s="185">
        <v>125308430</v>
      </c>
      <c r="K22" s="185">
        <v>109739519</v>
      </c>
      <c r="L22" s="185">
        <v>15568911</v>
      </c>
      <c r="M22" s="185"/>
      <c r="N22" s="186"/>
      <c r="O22" s="186"/>
      <c r="P22" s="186"/>
      <c r="Q22" s="411"/>
    </row>
    <row r="23" spans="1:19">
      <c r="B23" s="188" t="s">
        <v>704</v>
      </c>
      <c r="C23" s="188" t="s">
        <v>705</v>
      </c>
      <c r="D23" s="188" t="s">
        <v>750</v>
      </c>
      <c r="E23" s="189" t="s">
        <v>950</v>
      </c>
      <c r="F23" s="189" t="s">
        <v>706</v>
      </c>
      <c r="G23" s="185">
        <v>9596000</v>
      </c>
      <c r="H23" s="185" t="s">
        <v>742</v>
      </c>
      <c r="I23" s="185" t="s">
        <v>706</v>
      </c>
      <c r="J23" s="185">
        <v>134904430</v>
      </c>
      <c r="K23" s="185">
        <v>109739519</v>
      </c>
      <c r="L23" s="185">
        <v>25164911</v>
      </c>
      <c r="M23" s="99"/>
      <c r="N23" s="27"/>
      <c r="O23" s="186"/>
      <c r="P23" s="186"/>
      <c r="Q23" s="410"/>
    </row>
    <row r="24" spans="1:19">
      <c r="B24" s="188" t="s">
        <v>704</v>
      </c>
      <c r="C24" s="188" t="s">
        <v>705</v>
      </c>
      <c r="D24" s="188" t="s">
        <v>750</v>
      </c>
      <c r="E24" s="189" t="s">
        <v>751</v>
      </c>
      <c r="F24" s="189" t="s">
        <v>752</v>
      </c>
      <c r="G24" s="185" t="s">
        <v>706</v>
      </c>
      <c r="H24" s="185" t="s">
        <v>711</v>
      </c>
      <c r="I24" s="185">
        <v>7369680</v>
      </c>
      <c r="J24" s="185">
        <v>134904430</v>
      </c>
      <c r="K24" s="185">
        <v>117109199</v>
      </c>
      <c r="L24" s="185">
        <v>17795231</v>
      </c>
      <c r="M24" s="99"/>
      <c r="N24" s="27"/>
      <c r="O24" s="27"/>
      <c r="P24" s="27"/>
      <c r="Q24" s="410"/>
    </row>
    <row r="25" spans="1:19">
      <c r="B25" s="188" t="s">
        <v>704</v>
      </c>
      <c r="C25" s="188" t="s">
        <v>705</v>
      </c>
      <c r="D25" s="188" t="s">
        <v>750</v>
      </c>
      <c r="E25" s="189" t="s">
        <v>753</v>
      </c>
      <c r="F25" s="189" t="s">
        <v>754</v>
      </c>
      <c r="G25" s="185" t="s">
        <v>706</v>
      </c>
      <c r="H25" s="185" t="s">
        <v>711</v>
      </c>
      <c r="I25" s="185">
        <v>155900</v>
      </c>
      <c r="J25" s="185">
        <v>134904430</v>
      </c>
      <c r="K25" s="185">
        <v>117265099</v>
      </c>
      <c r="L25" s="185">
        <v>17639331</v>
      </c>
      <c r="M25" s="99"/>
      <c r="N25" s="27"/>
      <c r="O25" s="27"/>
      <c r="P25" s="27"/>
      <c r="Q25" s="410"/>
    </row>
    <row r="26" spans="1:19">
      <c r="A26" s="56">
        <v>1</v>
      </c>
      <c r="B26" s="547" t="s">
        <v>704</v>
      </c>
      <c r="C26" s="547" t="s">
        <v>705</v>
      </c>
      <c r="D26" s="547" t="s">
        <v>750</v>
      </c>
      <c r="E26" s="548" t="s">
        <v>755</v>
      </c>
      <c r="F26" s="548" t="s">
        <v>756</v>
      </c>
      <c r="G26" s="44" t="s">
        <v>706</v>
      </c>
      <c r="H26" s="44" t="s">
        <v>711</v>
      </c>
      <c r="I26" s="44">
        <v>932902</v>
      </c>
      <c r="J26" s="44">
        <v>134904430</v>
      </c>
      <c r="K26" s="44">
        <v>118198001</v>
      </c>
      <c r="L26" s="44">
        <v>16706429</v>
      </c>
      <c r="M26" s="44"/>
      <c r="N26" s="27"/>
      <c r="O26" s="27"/>
      <c r="P26" s="27"/>
      <c r="Q26" s="410"/>
    </row>
    <row r="27" spans="1:19">
      <c r="B27" s="547" t="s">
        <v>706</v>
      </c>
      <c r="C27" s="547" t="s">
        <v>757</v>
      </c>
      <c r="D27" s="547" t="s">
        <v>706</v>
      </c>
      <c r="E27" s="548" t="s">
        <v>706</v>
      </c>
      <c r="F27" s="548" t="s">
        <v>706</v>
      </c>
      <c r="G27" s="44">
        <v>9693670</v>
      </c>
      <c r="H27" s="44" t="s">
        <v>706</v>
      </c>
      <c r="I27" s="44">
        <v>9532900</v>
      </c>
      <c r="J27" s="44" t="s">
        <v>706</v>
      </c>
      <c r="K27" s="44" t="s">
        <v>706</v>
      </c>
      <c r="L27" s="44" t="s">
        <v>706</v>
      </c>
      <c r="M27" s="44"/>
      <c r="N27" s="27"/>
      <c r="O27" s="27"/>
      <c r="P27" s="27"/>
      <c r="Q27" s="410"/>
    </row>
    <row r="28" spans="1:19">
      <c r="B28" s="547"/>
      <c r="C28" s="547"/>
      <c r="D28" s="547"/>
      <c r="E28" s="548"/>
      <c r="F28" s="548"/>
      <c r="G28" s="44"/>
      <c r="H28" s="44"/>
      <c r="I28" s="44"/>
      <c r="J28" s="44"/>
      <c r="K28" s="44"/>
      <c r="L28" s="44"/>
      <c r="M28" s="44"/>
      <c r="N28" s="27"/>
      <c r="O28" s="27"/>
      <c r="P28" s="27"/>
      <c r="Q28" s="410"/>
    </row>
    <row r="29" spans="1:19">
      <c r="B29" s="547"/>
      <c r="C29" s="547"/>
      <c r="D29" s="547"/>
      <c r="E29" s="548"/>
      <c r="F29" s="548"/>
      <c r="G29" s="44"/>
      <c r="H29" s="44"/>
      <c r="I29" s="44"/>
      <c r="J29" s="44"/>
      <c r="K29" s="44"/>
      <c r="L29" s="44"/>
      <c r="M29" s="44"/>
      <c r="N29" s="27"/>
      <c r="O29" s="27"/>
      <c r="P29" s="27"/>
      <c r="Q29" s="410"/>
    </row>
    <row r="30" spans="1:19">
      <c r="B30" s="547"/>
      <c r="C30" s="547"/>
      <c r="D30" s="547"/>
      <c r="E30" s="548"/>
      <c r="F30" s="548"/>
      <c r="G30" s="44"/>
      <c r="H30" s="44"/>
      <c r="I30" s="44"/>
      <c r="J30" s="44"/>
      <c r="K30" s="44"/>
      <c r="L30" s="44"/>
      <c r="M30" s="44"/>
      <c r="N30" s="27"/>
      <c r="O30" s="27"/>
      <c r="P30" s="27"/>
      <c r="Q30" s="410"/>
    </row>
    <row r="31" spans="1:19">
      <c r="B31" s="547"/>
      <c r="C31" s="547"/>
      <c r="D31" s="547"/>
      <c r="E31" s="548"/>
      <c r="F31" s="548"/>
      <c r="G31" s="44"/>
      <c r="H31" s="44"/>
      <c r="I31" s="44"/>
      <c r="J31" s="44"/>
      <c r="K31" s="44"/>
      <c r="L31" s="44"/>
      <c r="M31" s="44"/>
      <c r="N31" s="27"/>
      <c r="O31" s="27"/>
      <c r="P31" s="27"/>
      <c r="Q31" s="410"/>
    </row>
    <row r="32" spans="1:19">
      <c r="B32" s="547"/>
      <c r="C32" s="547"/>
      <c r="D32" s="547"/>
      <c r="E32" s="548"/>
      <c r="F32" s="548"/>
      <c r="G32" s="44"/>
      <c r="H32" s="44"/>
      <c r="I32" s="44"/>
      <c r="J32" s="44"/>
      <c r="K32" s="44"/>
      <c r="L32" s="44"/>
      <c r="M32" s="44"/>
      <c r="N32" s="27"/>
      <c r="O32" s="27"/>
      <c r="P32" s="27"/>
      <c r="Q32" s="410"/>
    </row>
    <row r="33" spans="2:17">
      <c r="B33" s="547"/>
      <c r="C33" s="547"/>
      <c r="D33" s="547"/>
      <c r="E33" s="548"/>
      <c r="F33" s="548"/>
      <c r="G33" s="44"/>
      <c r="H33" s="44"/>
      <c r="I33" s="44"/>
      <c r="J33" s="44"/>
      <c r="K33" s="44"/>
      <c r="L33" s="44"/>
      <c r="M33" s="44"/>
      <c r="N33" s="27"/>
      <c r="O33" s="27"/>
      <c r="P33" s="27"/>
      <c r="Q33" s="410"/>
    </row>
    <row r="34" spans="2:17">
      <c r="B34" s="42"/>
      <c r="C34" s="42"/>
      <c r="D34" s="42"/>
      <c r="E34" s="43"/>
      <c r="F34" s="43"/>
      <c r="G34" s="44"/>
      <c r="H34" s="44"/>
      <c r="I34" s="44"/>
      <c r="J34" s="44"/>
      <c r="K34" s="44"/>
      <c r="L34" s="44"/>
      <c r="M34" s="44"/>
      <c r="N34" s="27"/>
      <c r="O34" s="27"/>
      <c r="P34" s="27"/>
      <c r="Q34" s="410"/>
    </row>
    <row r="35" spans="2:17">
      <c r="B35" s="42"/>
      <c r="C35" s="42"/>
      <c r="D35" s="42"/>
      <c r="E35" s="43"/>
      <c r="F35" s="43"/>
      <c r="G35" s="44"/>
      <c r="H35" s="44"/>
      <c r="I35" s="44"/>
      <c r="J35" s="44"/>
      <c r="K35" s="44"/>
      <c r="L35" s="44"/>
      <c r="M35" s="44"/>
      <c r="N35" s="27"/>
      <c r="O35" s="27"/>
      <c r="P35" s="27"/>
      <c r="Q35" s="410"/>
    </row>
    <row r="36" spans="2:17">
      <c r="B36" s="42"/>
      <c r="C36" s="42"/>
      <c r="D36" s="42"/>
      <c r="E36" s="43"/>
      <c r="F36" s="43"/>
      <c r="G36" s="44"/>
      <c r="H36" s="44"/>
      <c r="I36" s="44"/>
      <c r="J36" s="44"/>
      <c r="K36" s="44"/>
      <c r="L36" s="44"/>
      <c r="M36" s="44"/>
      <c r="N36" s="27"/>
      <c r="O36" s="27"/>
      <c r="P36" s="27"/>
      <c r="Q36" s="410"/>
    </row>
    <row r="37" spans="2:17">
      <c r="B37" s="42"/>
      <c r="C37" s="42"/>
      <c r="D37" s="42"/>
      <c r="E37" s="43"/>
      <c r="F37" s="43"/>
      <c r="G37" s="44"/>
      <c r="H37" s="44"/>
      <c r="I37" s="44"/>
      <c r="J37" s="44"/>
      <c r="K37" s="44"/>
      <c r="L37" s="44"/>
      <c r="M37" s="44"/>
      <c r="N37" s="27"/>
      <c r="O37" s="27"/>
      <c r="P37" s="27"/>
      <c r="Q37" s="410"/>
    </row>
    <row r="38" spans="2:17">
      <c r="B38" s="42"/>
      <c r="C38" s="42"/>
      <c r="D38" s="42"/>
      <c r="E38" s="43"/>
      <c r="F38" s="43"/>
      <c r="G38" s="44"/>
      <c r="H38" s="44"/>
      <c r="I38" s="44"/>
      <c r="J38" s="44"/>
      <c r="K38" s="44"/>
      <c r="L38" s="44"/>
      <c r="M38" s="44"/>
      <c r="N38" s="27"/>
      <c r="O38" s="27"/>
      <c r="P38" s="27"/>
      <c r="Q38" s="410"/>
    </row>
    <row r="39" spans="2:17">
      <c r="B39" s="42"/>
      <c r="C39" s="42"/>
      <c r="D39" s="42"/>
      <c r="E39" s="43"/>
      <c r="F39" s="43"/>
      <c r="G39" s="44"/>
      <c r="H39" s="44"/>
      <c r="I39" s="44"/>
      <c r="J39" s="44"/>
      <c r="K39" s="44"/>
      <c r="L39" s="44"/>
      <c r="M39" s="44"/>
      <c r="N39" s="27"/>
      <c r="O39" s="27"/>
      <c r="P39" s="27"/>
      <c r="Q39" s="410"/>
    </row>
    <row r="40" spans="2:17">
      <c r="B40" s="42"/>
      <c r="C40" s="42"/>
      <c r="D40" s="42"/>
      <c r="E40" s="43"/>
      <c r="F40" s="43"/>
      <c r="G40" s="44"/>
      <c r="H40" s="44"/>
      <c r="I40" s="44"/>
      <c r="J40" s="44"/>
      <c r="K40" s="44"/>
      <c r="L40" s="44"/>
      <c r="M40" s="44"/>
      <c r="N40" s="27"/>
      <c r="O40" s="27"/>
      <c r="P40" s="27"/>
      <c r="Q40" s="410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10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10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10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10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10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10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10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10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10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10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10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10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10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10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10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10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10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10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10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10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10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10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10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10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10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10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10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10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10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10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10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10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10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10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10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10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10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10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10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10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10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10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10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10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10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10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10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10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10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10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10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10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10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10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10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10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10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10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10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10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10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10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10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10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10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10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10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10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10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10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10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10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10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10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10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10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10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10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10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10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10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10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10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10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10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10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10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10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10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10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10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10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10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10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10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10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10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10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10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10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10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10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10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10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10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10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10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10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10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10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10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10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10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10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10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10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10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10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10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10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10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10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10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10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10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10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10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10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10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10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10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10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10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10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10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10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10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10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10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10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10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10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10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10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10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10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10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10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10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10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10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10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10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10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10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10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10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10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10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10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10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10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10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10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10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10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10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10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10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10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10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10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10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10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10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10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10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10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10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10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10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10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10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10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10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10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10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10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10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10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10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10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10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10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10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10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10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10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10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10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10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10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10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10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10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10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10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10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10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10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10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10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10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10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10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10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10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10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10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10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10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10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10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10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10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10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10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10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10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10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10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10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10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10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10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10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10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10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10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10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10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10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10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10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10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10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10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10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10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10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10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10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10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10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10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10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10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10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10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10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10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10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10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10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10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10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10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10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10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10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10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10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10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10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10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10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10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10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10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10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10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10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10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10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10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10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10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10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10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10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10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10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10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10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10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10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10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10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10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10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10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10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10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10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10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10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10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10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10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10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10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10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10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10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10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10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10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10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10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10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10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10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10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10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10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10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10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10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10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10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10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10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10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10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10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10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10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10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10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10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10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10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10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10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10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10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10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10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10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10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10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10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10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10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10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10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10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10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10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10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10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10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10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10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10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10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10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10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10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10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10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10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10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10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10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10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10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10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10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10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10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10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10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10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10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10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10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10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10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10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10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10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10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10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10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10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10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10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10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10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10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10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10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10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10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10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10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10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10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10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10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10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10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10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10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10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10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10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10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10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10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10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10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10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10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10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10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10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10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10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10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10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10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10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10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10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10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10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10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10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10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10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10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10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10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10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10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10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10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10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10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10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10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10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10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10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10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10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10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10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10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10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10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10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10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10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10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10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10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10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10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10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10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10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10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10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10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10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10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10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10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10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10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10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10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10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10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10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10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10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10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10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10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10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10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10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10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10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10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10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10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10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10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10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10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10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10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10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10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10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10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10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10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10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10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10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10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10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10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10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10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10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10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10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10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10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10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10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10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10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10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10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10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10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10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10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10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10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10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10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10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10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10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10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10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10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10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10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10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10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10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10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10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10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10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10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10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10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10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10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10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10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10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10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10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10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10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10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10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10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10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10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10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10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10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10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10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10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10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10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10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10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10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10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10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10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10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10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10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10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10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10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10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10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10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10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10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10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10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10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10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10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10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10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10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10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10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10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10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10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10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10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10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10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10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10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10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10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10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10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10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10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10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10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10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10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10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10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10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10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10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10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10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10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10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10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10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10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10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10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10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10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10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10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10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10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10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10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10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10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10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10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10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10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10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10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10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10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10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10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10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10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10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10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10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10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10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10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10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10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10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10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10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10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10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10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10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10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10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10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10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10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10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10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10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10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10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10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10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10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10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10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10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10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10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10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10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10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10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10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10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10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10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10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10"/>
    </row>
    <row r="746" spans="2:17">
      <c r="M746" s="44"/>
      <c r="N746" s="27"/>
      <c r="O746" s="27"/>
      <c r="P746" s="27"/>
      <c r="Q746" s="410"/>
    </row>
    <row r="747" spans="2:17">
      <c r="N747" s="27"/>
      <c r="O747" s="27"/>
      <c r="P747" s="27"/>
      <c r="Q747" s="410"/>
    </row>
    <row r="748" spans="2:17">
      <c r="N748" s="27"/>
      <c r="O748" s="27"/>
      <c r="P748" s="27"/>
      <c r="Q748" s="410"/>
    </row>
    <row r="749" spans="2:17">
      <c r="N749" s="27"/>
      <c r="O749" s="27"/>
      <c r="P749" s="27"/>
      <c r="Q749" s="410"/>
    </row>
    <row r="750" spans="2:17">
      <c r="N750" s="27"/>
      <c r="O750" s="27"/>
      <c r="P750" s="27"/>
      <c r="Q750" s="410"/>
    </row>
    <row r="751" spans="2:17">
      <c r="N751" s="27"/>
      <c r="O751" s="27"/>
      <c r="P751" s="27"/>
      <c r="Q751" s="410"/>
    </row>
    <row r="752" spans="2:17">
      <c r="N752" s="27"/>
      <c r="O752" s="27"/>
      <c r="P752" s="27"/>
      <c r="Q752" s="410"/>
    </row>
    <row r="753" spans="14:17">
      <c r="N753" s="27"/>
      <c r="O753" s="27"/>
      <c r="P753" s="27"/>
      <c r="Q753" s="410"/>
    </row>
    <row r="754" spans="14:17">
      <c r="N754" s="27"/>
      <c r="O754" s="27"/>
      <c r="P754" s="27"/>
      <c r="Q754" s="410"/>
    </row>
    <row r="755" spans="14:17">
      <c r="N755" s="27"/>
      <c r="O755" s="27"/>
      <c r="P755" s="27"/>
      <c r="Q755" s="410"/>
    </row>
    <row r="756" spans="14:17">
      <c r="N756" s="27"/>
      <c r="O756" s="27"/>
      <c r="P756" s="27"/>
      <c r="Q756" s="410"/>
    </row>
    <row r="757" spans="14:17">
      <c r="N757" s="27"/>
      <c r="O757" s="27"/>
      <c r="P757" s="27"/>
      <c r="Q757" s="410"/>
    </row>
    <row r="758" spans="14:17">
      <c r="N758" s="27"/>
      <c r="O758" s="27"/>
      <c r="P758" s="27"/>
      <c r="Q758" s="410"/>
    </row>
    <row r="759" spans="14:17">
      <c r="N759" s="27"/>
      <c r="O759" s="27"/>
      <c r="P759" s="27"/>
      <c r="Q759" s="410"/>
    </row>
    <row r="760" spans="14:17">
      <c r="N760" s="27"/>
      <c r="O760" s="27"/>
      <c r="P760" s="27"/>
      <c r="Q760" s="410"/>
    </row>
    <row r="761" spans="14:17">
      <c r="N761" s="27"/>
      <c r="O761" s="27"/>
      <c r="P761" s="27"/>
      <c r="Q761" s="410"/>
    </row>
    <row r="762" spans="14:17">
      <c r="N762" s="27"/>
      <c r="O762" s="27"/>
      <c r="P762" s="27"/>
      <c r="Q762" s="410"/>
    </row>
    <row r="763" spans="14:17">
      <c r="N763" s="27"/>
      <c r="O763" s="27"/>
      <c r="P763" s="27"/>
      <c r="Q763" s="410"/>
    </row>
    <row r="764" spans="14:17">
      <c r="N764" s="27"/>
      <c r="O764" s="27"/>
      <c r="P764" s="27"/>
      <c r="Q764" s="410"/>
    </row>
    <row r="765" spans="14:17">
      <c r="N765" s="27"/>
      <c r="O765" s="27"/>
      <c r="P765" s="27"/>
      <c r="Q765" s="410"/>
    </row>
    <row r="766" spans="14:17">
      <c r="N766" s="27"/>
      <c r="O766" s="27"/>
      <c r="P766" s="27"/>
      <c r="Q766" s="410"/>
    </row>
    <row r="767" spans="14:17">
      <c r="N767" s="27"/>
      <c r="O767" s="27"/>
      <c r="P767" s="27"/>
      <c r="Q767" s="410"/>
    </row>
    <row r="768" spans="14:17">
      <c r="N768" s="27"/>
      <c r="O768" s="27"/>
      <c r="P768" s="27"/>
      <c r="Q768" s="410"/>
    </row>
    <row r="769" spans="14:17">
      <c r="N769" s="27"/>
      <c r="O769" s="27"/>
      <c r="P769" s="27"/>
      <c r="Q769" s="410"/>
    </row>
    <row r="770" spans="14:17">
      <c r="N770" s="27"/>
      <c r="O770" s="27"/>
      <c r="P770" s="27"/>
      <c r="Q770" s="410"/>
    </row>
    <row r="771" spans="14:17">
      <c r="N771" s="27"/>
      <c r="O771" s="27"/>
      <c r="P771" s="27"/>
      <c r="Q771" s="410"/>
    </row>
    <row r="772" spans="14:17">
      <c r="N772" s="27"/>
      <c r="O772" s="27"/>
      <c r="P772" s="27"/>
      <c r="Q772" s="410"/>
    </row>
    <row r="773" spans="14:17">
      <c r="N773" s="27"/>
      <c r="O773" s="27"/>
      <c r="P773" s="27"/>
      <c r="Q773" s="410"/>
    </row>
    <row r="774" spans="14:17">
      <c r="N774" s="27"/>
      <c r="O774" s="27"/>
      <c r="P774" s="27"/>
      <c r="Q774" s="410"/>
    </row>
    <row r="775" spans="14:17">
      <c r="N775" s="27"/>
      <c r="O775" s="27"/>
      <c r="P775" s="27"/>
      <c r="Q775" s="410"/>
    </row>
    <row r="776" spans="14:17">
      <c r="N776" s="27"/>
      <c r="O776" s="27"/>
      <c r="P776" s="27"/>
      <c r="Q776" s="410"/>
    </row>
    <row r="777" spans="14:17">
      <c r="N777" s="27"/>
      <c r="O777" s="27"/>
      <c r="P777" s="27"/>
      <c r="Q777" s="410"/>
    </row>
    <row r="778" spans="14:17">
      <c r="N778" s="27"/>
      <c r="O778" s="27"/>
      <c r="P778" s="27"/>
      <c r="Q778" s="410"/>
    </row>
    <row r="779" spans="14:17">
      <c r="N779" s="27"/>
      <c r="O779" s="27"/>
      <c r="P779" s="27"/>
      <c r="Q779" s="410"/>
    </row>
    <row r="780" spans="14:17">
      <c r="N780" s="27"/>
      <c r="O780" s="27"/>
      <c r="P780" s="27"/>
      <c r="Q780" s="410"/>
    </row>
    <row r="781" spans="14:17">
      <c r="N781" s="27"/>
      <c r="O781" s="27"/>
      <c r="P781" s="27"/>
      <c r="Q781" s="410"/>
    </row>
    <row r="782" spans="14:17">
      <c r="N782" s="27"/>
      <c r="O782" s="27"/>
      <c r="P782" s="27"/>
      <c r="Q782" s="410"/>
    </row>
    <row r="783" spans="14:17">
      <c r="N783" s="27"/>
      <c r="O783" s="27"/>
      <c r="P783" s="27"/>
      <c r="Q783" s="410"/>
    </row>
    <row r="784" spans="14:17">
      <c r="N784" s="27"/>
      <c r="O784" s="27"/>
      <c r="P784" s="27"/>
      <c r="Q784" s="410"/>
    </row>
    <row r="785" spans="14:17">
      <c r="N785" s="27"/>
      <c r="O785" s="27"/>
      <c r="P785" s="27"/>
      <c r="Q785" s="410"/>
    </row>
    <row r="786" spans="14:17">
      <c r="N786" s="27"/>
      <c r="O786" s="27"/>
      <c r="P786" s="27"/>
      <c r="Q786" s="410"/>
    </row>
    <row r="787" spans="14:17">
      <c r="N787" s="27"/>
      <c r="O787" s="27"/>
      <c r="P787" s="27"/>
      <c r="Q787" s="410"/>
    </row>
    <row r="788" spans="14:17">
      <c r="N788" s="27"/>
      <c r="O788" s="27"/>
      <c r="P788" s="27"/>
      <c r="Q788" s="410"/>
    </row>
    <row r="789" spans="14:17">
      <c r="N789" s="27"/>
      <c r="O789" s="27"/>
      <c r="P789" s="27"/>
      <c r="Q789" s="410"/>
    </row>
    <row r="790" spans="14:17">
      <c r="N790" s="27"/>
      <c r="O790" s="27"/>
      <c r="P790" s="27"/>
      <c r="Q790" s="410"/>
    </row>
    <row r="791" spans="14:17">
      <c r="N791" s="27"/>
      <c r="O791" s="27"/>
      <c r="P791" s="27"/>
      <c r="Q791" s="410"/>
    </row>
    <row r="792" spans="14:17">
      <c r="N792" s="27"/>
      <c r="O792" s="27"/>
      <c r="P792" s="27"/>
      <c r="Q792" s="410"/>
    </row>
    <row r="793" spans="14:17">
      <c r="N793" s="27"/>
      <c r="O793" s="27"/>
      <c r="P793" s="27"/>
      <c r="Q793" s="410"/>
    </row>
    <row r="794" spans="14:17">
      <c r="N794" s="27"/>
      <c r="O794" s="27"/>
      <c r="P794" s="27"/>
      <c r="Q794" s="410"/>
    </row>
    <row r="795" spans="14:17">
      <c r="N795" s="27"/>
      <c r="O795" s="27"/>
      <c r="P795" s="27"/>
      <c r="Q795" s="410"/>
    </row>
    <row r="796" spans="14:17">
      <c r="N796" s="27"/>
      <c r="O796" s="27"/>
      <c r="P796" s="27"/>
      <c r="Q796" s="410"/>
    </row>
    <row r="797" spans="14:17">
      <c r="N797" s="27"/>
      <c r="O797" s="27"/>
      <c r="P797" s="27"/>
      <c r="Q797" s="410"/>
    </row>
    <row r="798" spans="14:17">
      <c r="N798" s="27"/>
      <c r="O798" s="27"/>
      <c r="P798" s="27"/>
      <c r="Q798" s="410"/>
    </row>
    <row r="799" spans="14:17">
      <c r="N799" s="27"/>
      <c r="O799" s="27"/>
      <c r="P799" s="27"/>
      <c r="Q799" s="410"/>
    </row>
    <row r="800" spans="14:17">
      <c r="N800" s="27"/>
      <c r="O800" s="27"/>
      <c r="P800" s="27"/>
      <c r="Q800" s="410"/>
    </row>
    <row r="801" spans="14:17">
      <c r="N801" s="27"/>
      <c r="O801" s="27"/>
      <c r="P801" s="27"/>
      <c r="Q801" s="410"/>
    </row>
    <row r="802" spans="14:17">
      <c r="N802" s="27"/>
      <c r="O802" s="27"/>
      <c r="P802" s="27"/>
      <c r="Q802" s="410"/>
    </row>
    <row r="803" spans="14:17">
      <c r="N803" s="27"/>
      <c r="O803" s="27"/>
      <c r="P803" s="27"/>
      <c r="Q803" s="410"/>
    </row>
    <row r="804" spans="14:17">
      <c r="N804" s="27"/>
      <c r="O804" s="27"/>
      <c r="P804" s="27"/>
      <c r="Q804" s="410"/>
    </row>
    <row r="805" spans="14:17">
      <c r="N805" s="27"/>
      <c r="O805" s="27"/>
      <c r="P805" s="27"/>
      <c r="Q805" s="410"/>
    </row>
    <row r="806" spans="14:17">
      <c r="N806" s="27"/>
      <c r="O806" s="27"/>
      <c r="P806" s="27"/>
      <c r="Q806" s="410"/>
    </row>
    <row r="807" spans="14:17">
      <c r="N807" s="27"/>
      <c r="O807" s="27"/>
      <c r="P807" s="27"/>
      <c r="Q807" s="410"/>
    </row>
    <row r="808" spans="14:17">
      <c r="N808" s="27"/>
      <c r="O808" s="27"/>
      <c r="P808" s="27"/>
      <c r="Q808" s="410"/>
    </row>
    <row r="809" spans="14:17">
      <c r="N809" s="27"/>
      <c r="O809" s="27"/>
      <c r="P809" s="27"/>
      <c r="Q809" s="410"/>
    </row>
    <row r="810" spans="14:17">
      <c r="N810" s="27"/>
      <c r="O810" s="27"/>
      <c r="P810" s="27"/>
      <c r="Q810" s="410"/>
    </row>
    <row r="811" spans="14:17">
      <c r="N811" s="27"/>
      <c r="O811" s="27"/>
      <c r="P811" s="27"/>
      <c r="Q811" s="410"/>
    </row>
    <row r="812" spans="14:17">
      <c r="N812" s="27"/>
      <c r="O812" s="27"/>
      <c r="P812" s="27"/>
      <c r="Q812" s="410"/>
    </row>
    <row r="813" spans="14:17">
      <c r="N813" s="27"/>
      <c r="O813" s="27"/>
      <c r="P813" s="27"/>
      <c r="Q813" s="410"/>
    </row>
    <row r="814" spans="14:17">
      <c r="N814" s="27"/>
      <c r="O814" s="27"/>
      <c r="P814" s="27"/>
      <c r="Q814" s="410"/>
    </row>
    <row r="815" spans="14:17">
      <c r="N815" s="27"/>
      <c r="O815" s="27"/>
      <c r="P815" s="27"/>
      <c r="Q815" s="410"/>
    </row>
    <row r="816" spans="14:17">
      <c r="N816" s="27"/>
      <c r="O816" s="27"/>
      <c r="P816" s="27"/>
      <c r="Q816" s="410"/>
    </row>
    <row r="817" spans="14:17">
      <c r="N817" s="27"/>
      <c r="O817" s="27"/>
      <c r="P817" s="27"/>
      <c r="Q817" s="410"/>
    </row>
    <row r="818" spans="14:17">
      <c r="N818" s="27"/>
      <c r="O818" s="27"/>
      <c r="P818" s="27"/>
      <c r="Q818" s="410"/>
    </row>
    <row r="819" spans="14:17">
      <c r="N819" s="27"/>
      <c r="O819" s="27"/>
      <c r="P819" s="27"/>
      <c r="Q819" s="410"/>
    </row>
    <row r="820" spans="14:17">
      <c r="N820" s="27"/>
      <c r="O820" s="27"/>
      <c r="P820" s="27"/>
      <c r="Q820" s="410"/>
    </row>
    <row r="821" spans="14:17">
      <c r="N821" s="27"/>
      <c r="O821" s="27"/>
      <c r="P821" s="27"/>
      <c r="Q821" s="410"/>
    </row>
    <row r="822" spans="14:17">
      <c r="N822" s="27"/>
      <c r="O822" s="27"/>
      <c r="P822" s="27"/>
      <c r="Q822" s="410"/>
    </row>
    <row r="823" spans="14:17">
      <c r="N823" s="27"/>
      <c r="O823" s="27"/>
      <c r="P823" s="27"/>
      <c r="Q823" s="410"/>
    </row>
    <row r="824" spans="14:17">
      <c r="N824" s="27"/>
      <c r="O824" s="27"/>
      <c r="P824" s="27"/>
      <c r="Q824" s="410"/>
    </row>
    <row r="825" spans="14:17">
      <c r="N825" s="27"/>
      <c r="O825" s="27"/>
      <c r="P825" s="27"/>
      <c r="Q825" s="410"/>
    </row>
    <row r="826" spans="14:17">
      <c r="N826" s="27"/>
      <c r="O826" s="27"/>
      <c r="P826" s="27"/>
      <c r="Q826" s="410"/>
    </row>
    <row r="827" spans="14:17">
      <c r="N827" s="27"/>
      <c r="O827" s="27"/>
      <c r="P827" s="27"/>
      <c r="Q827" s="410"/>
    </row>
    <row r="828" spans="14:17">
      <c r="N828" s="27"/>
      <c r="O828" s="27"/>
      <c r="P828" s="27"/>
      <c r="Q828" s="410"/>
    </row>
    <row r="829" spans="14:17">
      <c r="N829" s="27"/>
      <c r="O829" s="27"/>
      <c r="P829" s="27"/>
      <c r="Q829" s="410"/>
    </row>
    <row r="830" spans="14:17">
      <c r="N830" s="27"/>
      <c r="O830" s="27"/>
      <c r="P830" s="27"/>
      <c r="Q830" s="410"/>
    </row>
    <row r="831" spans="14:17">
      <c r="N831" s="27"/>
      <c r="O831" s="27"/>
      <c r="P831" s="27"/>
      <c r="Q831" s="410"/>
    </row>
    <row r="832" spans="14:17">
      <c r="N832" s="27"/>
      <c r="O832" s="27"/>
      <c r="P832" s="27"/>
      <c r="Q832" s="410"/>
    </row>
    <row r="833" spans="14:17">
      <c r="N833" s="27"/>
      <c r="O833" s="27"/>
      <c r="P833" s="27"/>
      <c r="Q833" s="410"/>
    </row>
    <row r="834" spans="14:17">
      <c r="N834" s="27"/>
      <c r="O834" s="27"/>
      <c r="P834" s="27"/>
      <c r="Q834" s="410"/>
    </row>
    <row r="835" spans="14:17">
      <c r="N835" s="27"/>
      <c r="O835" s="27"/>
      <c r="P835" s="27"/>
      <c r="Q835" s="410"/>
    </row>
    <row r="836" spans="14:17">
      <c r="N836" s="27"/>
      <c r="O836" s="27"/>
      <c r="P836" s="27"/>
      <c r="Q836" s="410"/>
    </row>
    <row r="837" spans="14:17">
      <c r="N837" s="27"/>
      <c r="O837" s="27"/>
      <c r="P837" s="27"/>
      <c r="Q837" s="410"/>
    </row>
    <row r="838" spans="14:17">
      <c r="N838" s="27"/>
      <c r="O838" s="27"/>
      <c r="P838" s="27"/>
      <c r="Q838" s="410"/>
    </row>
    <row r="839" spans="14:17">
      <c r="N839" s="27"/>
      <c r="O839" s="27"/>
      <c r="P839" s="27"/>
      <c r="Q839" s="410"/>
    </row>
    <row r="840" spans="14:17">
      <c r="N840" s="27"/>
      <c r="O840" s="27"/>
      <c r="P840" s="27"/>
      <c r="Q840" s="410"/>
    </row>
    <row r="841" spans="14:17">
      <c r="N841" s="27"/>
      <c r="O841" s="27"/>
      <c r="P841" s="27"/>
      <c r="Q841" s="410"/>
    </row>
    <row r="842" spans="14:17">
      <c r="N842" s="27"/>
      <c r="O842" s="27"/>
      <c r="P842" s="27"/>
      <c r="Q842" s="410"/>
    </row>
    <row r="843" spans="14:17">
      <c r="N843" s="27"/>
      <c r="O843" s="27"/>
      <c r="P843" s="27"/>
      <c r="Q843" s="410"/>
    </row>
    <row r="844" spans="14:17">
      <c r="N844" s="27"/>
      <c r="O844" s="27"/>
      <c r="P844" s="27"/>
      <c r="Q844" s="410"/>
    </row>
    <row r="845" spans="14:17">
      <c r="N845" s="27"/>
      <c r="O845" s="27"/>
      <c r="P845" s="27"/>
      <c r="Q845" s="410"/>
    </row>
    <row r="846" spans="14:17">
      <c r="N846" s="27"/>
      <c r="O846" s="27"/>
      <c r="P846" s="27"/>
      <c r="Q846" s="410"/>
    </row>
    <row r="847" spans="14:17">
      <c r="N847" s="27"/>
      <c r="O847" s="27"/>
      <c r="P847" s="27"/>
      <c r="Q847" s="410"/>
    </row>
    <row r="848" spans="14:17">
      <c r="N848" s="27"/>
      <c r="O848" s="27"/>
      <c r="P848" s="27"/>
      <c r="Q848" s="410"/>
    </row>
    <row r="849" spans="14:17">
      <c r="N849" s="27"/>
      <c r="O849" s="27"/>
      <c r="P849" s="27"/>
      <c r="Q849" s="410"/>
    </row>
    <row r="850" spans="14:17">
      <c r="N850" s="27"/>
      <c r="O850" s="27"/>
      <c r="P850" s="27"/>
      <c r="Q850" s="410"/>
    </row>
    <row r="851" spans="14:17">
      <c r="N851" s="27"/>
      <c r="O851" s="27"/>
      <c r="P851" s="27"/>
      <c r="Q851" s="410"/>
    </row>
    <row r="852" spans="14:17">
      <c r="N852" s="27"/>
      <c r="O852" s="27"/>
      <c r="P852" s="27"/>
      <c r="Q852" s="410"/>
    </row>
    <row r="853" spans="14:17">
      <c r="N853" s="27"/>
      <c r="O853" s="27"/>
      <c r="P853" s="27"/>
      <c r="Q853" s="410"/>
    </row>
    <row r="854" spans="14:17">
      <c r="N854" s="27"/>
      <c r="O854" s="27"/>
      <c r="P854" s="27"/>
      <c r="Q854" s="410"/>
    </row>
    <row r="855" spans="14:17">
      <c r="N855" s="27"/>
      <c r="O855" s="27"/>
      <c r="P855" s="27"/>
      <c r="Q855" s="410"/>
    </row>
    <row r="856" spans="14:17">
      <c r="N856" s="27"/>
      <c r="O856" s="27"/>
      <c r="P856" s="27"/>
      <c r="Q856" s="410"/>
    </row>
    <row r="857" spans="14:17">
      <c r="N857" s="27"/>
      <c r="O857" s="27"/>
      <c r="P857" s="27"/>
      <c r="Q857" s="410"/>
    </row>
    <row r="858" spans="14:17">
      <c r="N858" s="27"/>
      <c r="O858" s="27"/>
      <c r="P858" s="27"/>
      <c r="Q858" s="410"/>
    </row>
    <row r="859" spans="14:17">
      <c r="N859" s="27"/>
      <c r="O859" s="27"/>
      <c r="P859" s="27"/>
      <c r="Q859" s="410"/>
    </row>
    <row r="860" spans="14:17">
      <c r="N860" s="27"/>
      <c r="O860" s="27"/>
      <c r="P860" s="27"/>
      <c r="Q860" s="410"/>
    </row>
    <row r="861" spans="14:17">
      <c r="N861" s="27"/>
      <c r="O861" s="27"/>
      <c r="P861" s="27"/>
      <c r="Q861" s="410"/>
    </row>
    <row r="862" spans="14:17">
      <c r="N862" s="27"/>
      <c r="O862" s="27"/>
      <c r="P862" s="27"/>
      <c r="Q862" s="410"/>
    </row>
    <row r="863" spans="14:17">
      <c r="N863" s="27"/>
      <c r="O863" s="27"/>
      <c r="P863" s="27"/>
      <c r="Q863" s="410"/>
    </row>
    <row r="864" spans="14:17">
      <c r="N864" s="27"/>
      <c r="O864" s="27"/>
      <c r="P864" s="27"/>
      <c r="Q864" s="410"/>
    </row>
    <row r="865" spans="14:17">
      <c r="N865" s="27"/>
      <c r="O865" s="27"/>
      <c r="P865" s="27"/>
      <c r="Q865" s="410"/>
    </row>
    <row r="866" spans="14:17">
      <c r="N866" s="27"/>
      <c r="O866" s="27"/>
      <c r="P866" s="27"/>
      <c r="Q866" s="410"/>
    </row>
    <row r="867" spans="14:17">
      <c r="N867" s="27"/>
      <c r="O867" s="27"/>
      <c r="P867" s="27"/>
      <c r="Q867" s="410"/>
    </row>
    <row r="868" spans="14:17">
      <c r="N868" s="27"/>
      <c r="O868" s="27"/>
      <c r="P868" s="27"/>
      <c r="Q868" s="410"/>
    </row>
    <row r="869" spans="14:17">
      <c r="N869" s="27"/>
      <c r="O869" s="27"/>
      <c r="P869" s="27"/>
      <c r="Q869" s="410"/>
    </row>
    <row r="870" spans="14:17">
      <c r="N870" s="27"/>
      <c r="O870" s="27"/>
      <c r="P870" s="27"/>
      <c r="Q870" s="410"/>
    </row>
    <row r="871" spans="14:17">
      <c r="N871" s="27"/>
      <c r="O871" s="27"/>
      <c r="P871" s="27"/>
      <c r="Q871" s="410"/>
    </row>
    <row r="872" spans="14:17">
      <c r="N872" s="27"/>
      <c r="O872" s="27"/>
      <c r="P872" s="27"/>
      <c r="Q872" s="410"/>
    </row>
    <row r="873" spans="14:17">
      <c r="N873" s="27"/>
      <c r="O873" s="27"/>
      <c r="P873" s="27"/>
      <c r="Q873" s="410"/>
    </row>
    <row r="874" spans="14:17">
      <c r="N874" s="27"/>
      <c r="O874" s="27"/>
      <c r="P874" s="27"/>
      <c r="Q874" s="410"/>
    </row>
    <row r="875" spans="14:17">
      <c r="N875" s="27"/>
      <c r="O875" s="27"/>
      <c r="P875" s="27"/>
      <c r="Q875" s="410"/>
    </row>
    <row r="876" spans="14:17">
      <c r="N876" s="27"/>
      <c r="O876" s="27"/>
      <c r="P876" s="27"/>
      <c r="Q876" s="410"/>
    </row>
    <row r="877" spans="14:17">
      <c r="N877" s="27"/>
      <c r="O877" s="27"/>
      <c r="P877" s="27"/>
      <c r="Q877" s="410"/>
    </row>
    <row r="878" spans="14:17">
      <c r="N878" s="27"/>
      <c r="O878" s="27"/>
      <c r="P878" s="27"/>
      <c r="Q878" s="410"/>
    </row>
    <row r="879" spans="14:17">
      <c r="N879" s="27"/>
      <c r="O879" s="27"/>
      <c r="P879" s="27"/>
      <c r="Q879" s="410"/>
    </row>
    <row r="880" spans="14:17">
      <c r="N880" s="27"/>
      <c r="O880" s="27"/>
      <c r="P880" s="27"/>
      <c r="Q880" s="410"/>
    </row>
    <row r="881" spans="14:17">
      <c r="N881" s="27"/>
      <c r="O881" s="27"/>
      <c r="P881" s="27"/>
      <c r="Q881" s="410"/>
    </row>
    <row r="882" spans="14:17">
      <c r="N882" s="27"/>
      <c r="O882" s="27"/>
      <c r="P882" s="27"/>
      <c r="Q882" s="410"/>
    </row>
    <row r="883" spans="14:17">
      <c r="N883" s="27"/>
      <c r="O883" s="27"/>
      <c r="P883" s="27"/>
      <c r="Q883" s="410"/>
    </row>
    <row r="884" spans="14:17">
      <c r="N884" s="27"/>
      <c r="O884" s="27"/>
      <c r="P884" s="27"/>
      <c r="Q884" s="410"/>
    </row>
    <row r="885" spans="14:17">
      <c r="N885" s="27"/>
      <c r="O885" s="27"/>
      <c r="P885" s="27"/>
      <c r="Q885" s="410"/>
    </row>
    <row r="886" spans="14:17">
      <c r="N886" s="27"/>
      <c r="O886" s="27"/>
      <c r="P886" s="27"/>
      <c r="Q886" s="410"/>
    </row>
    <row r="887" spans="14:17">
      <c r="N887" s="27"/>
      <c r="O887" s="27"/>
      <c r="P887" s="27"/>
      <c r="Q887" s="410"/>
    </row>
    <row r="888" spans="14:17">
      <c r="N888" s="27"/>
      <c r="O888" s="27"/>
      <c r="P888" s="27"/>
      <c r="Q888" s="410"/>
    </row>
    <row r="889" spans="14:17">
      <c r="N889" s="27"/>
      <c r="O889" s="27"/>
      <c r="P889" s="27"/>
      <c r="Q889" s="410"/>
    </row>
    <row r="890" spans="14:17">
      <c r="N890" s="27"/>
      <c r="O890" s="27"/>
      <c r="P890" s="27"/>
      <c r="Q890" s="410"/>
    </row>
    <row r="891" spans="14:17">
      <c r="N891" s="27"/>
      <c r="O891" s="27"/>
      <c r="P891" s="27"/>
      <c r="Q891" s="410"/>
    </row>
    <row r="892" spans="14:17">
      <c r="N892" s="27"/>
      <c r="O892" s="27"/>
      <c r="P892" s="27"/>
      <c r="Q892" s="410"/>
    </row>
    <row r="893" spans="14:17">
      <c r="N893" s="27"/>
      <c r="O893" s="27"/>
      <c r="P893" s="27"/>
      <c r="Q893" s="410"/>
    </row>
    <row r="894" spans="14:17">
      <c r="N894" s="27"/>
      <c r="O894" s="27"/>
      <c r="P894" s="27"/>
      <c r="Q894" s="410"/>
    </row>
    <row r="895" spans="14:17">
      <c r="N895" s="27"/>
      <c r="O895" s="27"/>
      <c r="P895" s="27"/>
      <c r="Q895" s="410"/>
    </row>
    <row r="896" spans="14:17">
      <c r="N896" s="27"/>
      <c r="O896" s="27"/>
      <c r="P896" s="27"/>
      <c r="Q896" s="410"/>
    </row>
    <row r="897" spans="14:17">
      <c r="N897" s="27"/>
      <c r="O897" s="27"/>
      <c r="P897" s="27"/>
      <c r="Q897" s="410"/>
    </row>
    <row r="898" spans="14:17">
      <c r="N898" s="27"/>
      <c r="O898" s="27"/>
      <c r="P898" s="27"/>
      <c r="Q898" s="410"/>
    </row>
    <row r="899" spans="14:17">
      <c r="N899" s="27"/>
      <c r="O899" s="27"/>
      <c r="P899" s="27"/>
      <c r="Q899" s="410"/>
    </row>
    <row r="900" spans="14:17">
      <c r="N900" s="27"/>
      <c r="O900" s="27"/>
      <c r="P900" s="27"/>
      <c r="Q900" s="410"/>
    </row>
    <row r="901" spans="14:17">
      <c r="N901" s="27"/>
      <c r="O901" s="27"/>
      <c r="P901" s="27"/>
      <c r="Q901" s="410"/>
    </row>
    <row r="902" spans="14:17">
      <c r="N902" s="27"/>
      <c r="O902" s="27"/>
      <c r="P902" s="27"/>
      <c r="Q902" s="410"/>
    </row>
    <row r="903" spans="14:17">
      <c r="N903" s="27"/>
      <c r="O903" s="27"/>
      <c r="P903" s="27"/>
      <c r="Q903" s="410"/>
    </row>
    <row r="904" spans="14:17">
      <c r="N904" s="27"/>
      <c r="O904" s="27"/>
      <c r="P904" s="27"/>
      <c r="Q904" s="410"/>
    </row>
    <row r="905" spans="14:17">
      <c r="N905" s="27"/>
      <c r="O905" s="27"/>
      <c r="P905" s="27"/>
      <c r="Q905" s="410"/>
    </row>
    <row r="906" spans="14:17">
      <c r="N906" s="27"/>
      <c r="O906" s="27"/>
      <c r="P906" s="27"/>
      <c r="Q906" s="410"/>
    </row>
    <row r="907" spans="14:17">
      <c r="N907" s="27"/>
      <c r="O907" s="27"/>
      <c r="P907" s="27"/>
      <c r="Q907" s="410"/>
    </row>
    <row r="908" spans="14:17">
      <c r="N908" s="27"/>
      <c r="O908" s="27"/>
      <c r="P908" s="27"/>
      <c r="Q908" s="410"/>
    </row>
    <row r="909" spans="14:17">
      <c r="N909" s="27"/>
      <c r="O909" s="27"/>
      <c r="P909" s="27"/>
      <c r="Q909" s="410"/>
    </row>
    <row r="910" spans="14:17">
      <c r="N910" s="27"/>
      <c r="O910" s="27"/>
      <c r="P910" s="27"/>
      <c r="Q910" s="410"/>
    </row>
    <row r="911" spans="14:17">
      <c r="N911" s="27"/>
      <c r="O911" s="27"/>
      <c r="P911" s="27"/>
      <c r="Q911" s="410"/>
    </row>
    <row r="912" spans="14:17">
      <c r="N912" s="27"/>
      <c r="O912" s="27"/>
      <c r="P912" s="27"/>
      <c r="Q912" s="410"/>
    </row>
    <row r="913" spans="14:17">
      <c r="N913" s="27"/>
      <c r="O913" s="27"/>
      <c r="P913" s="27"/>
      <c r="Q913" s="410"/>
    </row>
    <row r="914" spans="14:17">
      <c r="N914" s="27"/>
      <c r="O914" s="27"/>
      <c r="P914" s="27"/>
      <c r="Q914" s="410"/>
    </row>
    <row r="915" spans="14:17">
      <c r="N915" s="27"/>
      <c r="O915" s="27"/>
      <c r="P915" s="27"/>
      <c r="Q915" s="410"/>
    </row>
    <row r="916" spans="14:17">
      <c r="N916" s="27"/>
      <c r="O916" s="27"/>
      <c r="P916" s="27"/>
      <c r="Q916" s="410"/>
    </row>
    <row r="917" spans="14:17">
      <c r="N917" s="27"/>
      <c r="O917" s="27"/>
      <c r="P917" s="27"/>
      <c r="Q917" s="410"/>
    </row>
    <row r="918" spans="14:17">
      <c r="N918" s="27"/>
      <c r="O918" s="27"/>
      <c r="P918" s="27"/>
      <c r="Q918" s="410"/>
    </row>
    <row r="919" spans="14:17">
      <c r="N919" s="27"/>
      <c r="O919" s="27"/>
      <c r="P919" s="27"/>
      <c r="Q919" s="410"/>
    </row>
    <row r="920" spans="14:17">
      <c r="N920" s="27"/>
      <c r="O920" s="27"/>
      <c r="P920" s="27"/>
      <c r="Q920" s="410"/>
    </row>
    <row r="921" spans="14:17">
      <c r="N921" s="27"/>
      <c r="O921" s="27"/>
      <c r="P921" s="27"/>
      <c r="Q921" s="410"/>
    </row>
    <row r="922" spans="14:17">
      <c r="N922" s="27"/>
      <c r="O922" s="27"/>
      <c r="P922" s="27"/>
      <c r="Q922" s="410"/>
    </row>
    <row r="923" spans="14:17">
      <c r="N923" s="27"/>
      <c r="O923" s="27"/>
      <c r="P923" s="27"/>
      <c r="Q923" s="410"/>
    </row>
    <row r="924" spans="14:17">
      <c r="N924" s="27"/>
      <c r="O924" s="27"/>
      <c r="P924" s="27"/>
      <c r="Q924" s="410"/>
    </row>
    <row r="925" spans="14:17">
      <c r="N925" s="27"/>
      <c r="O925" s="27"/>
      <c r="P925" s="27"/>
      <c r="Q925" s="410"/>
    </row>
    <row r="926" spans="14:17">
      <c r="N926" s="27"/>
      <c r="O926" s="27"/>
      <c r="P926" s="27"/>
      <c r="Q926" s="410"/>
    </row>
    <row r="927" spans="14:17">
      <c r="N927" s="27"/>
      <c r="O927" s="27"/>
      <c r="P927" s="27"/>
      <c r="Q927" s="410"/>
    </row>
    <row r="928" spans="14:17">
      <c r="N928" s="27"/>
      <c r="O928" s="27"/>
      <c r="P928" s="27"/>
      <c r="Q928" s="410"/>
    </row>
    <row r="929" spans="14:17">
      <c r="N929" s="27"/>
      <c r="O929" s="27"/>
      <c r="P929" s="27"/>
      <c r="Q929" s="410"/>
    </row>
    <row r="930" spans="14:17">
      <c r="N930" s="27"/>
      <c r="O930" s="27"/>
      <c r="P930" s="27"/>
      <c r="Q930" s="410"/>
    </row>
    <row r="931" spans="14:17">
      <c r="N931" s="27"/>
      <c r="O931" s="27"/>
      <c r="P931" s="27"/>
      <c r="Q931" s="410"/>
    </row>
    <row r="932" spans="14:17">
      <c r="N932" s="27"/>
      <c r="O932" s="27"/>
      <c r="P932" s="27"/>
      <c r="Q932" s="410"/>
    </row>
    <row r="933" spans="14:17">
      <c r="N933" s="27"/>
      <c r="O933" s="27"/>
      <c r="P933" s="27"/>
      <c r="Q933" s="410"/>
    </row>
    <row r="934" spans="14:17">
      <c r="N934" s="27"/>
      <c r="O934" s="27"/>
      <c r="P934" s="27"/>
      <c r="Q934" s="410"/>
    </row>
    <row r="935" spans="14:17">
      <c r="N935" s="27"/>
      <c r="O935" s="27"/>
      <c r="P935" s="27"/>
      <c r="Q935" s="410"/>
    </row>
    <row r="936" spans="14:17">
      <c r="N936" s="27"/>
      <c r="O936" s="27"/>
      <c r="P936" s="27"/>
      <c r="Q936" s="410"/>
    </row>
    <row r="937" spans="14:17">
      <c r="N937" s="27"/>
      <c r="O937" s="27"/>
      <c r="P937" s="27"/>
      <c r="Q937" s="410"/>
    </row>
    <row r="938" spans="14:17">
      <c r="N938" s="27"/>
      <c r="O938" s="27"/>
      <c r="P938" s="27"/>
      <c r="Q938" s="410"/>
    </row>
    <row r="939" spans="14:17">
      <c r="N939" s="27"/>
      <c r="O939" s="27"/>
      <c r="P939" s="27"/>
      <c r="Q939" s="410"/>
    </row>
    <row r="940" spans="14:17">
      <c r="N940" s="27"/>
      <c r="O940" s="27"/>
      <c r="P940" s="27"/>
      <c r="Q940" s="410"/>
    </row>
    <row r="941" spans="14:17">
      <c r="N941" s="27"/>
      <c r="O941" s="27"/>
      <c r="P941" s="27"/>
      <c r="Q941" s="410"/>
    </row>
    <row r="942" spans="14:17">
      <c r="N942" s="27"/>
      <c r="O942" s="27"/>
      <c r="P942" s="27"/>
      <c r="Q942" s="410"/>
    </row>
    <row r="943" spans="14:17">
      <c r="N943" s="27"/>
      <c r="O943" s="27"/>
      <c r="P943" s="27"/>
      <c r="Q943" s="410"/>
    </row>
    <row r="944" spans="14:17">
      <c r="N944" s="27"/>
      <c r="O944" s="27"/>
      <c r="P944" s="27"/>
      <c r="Q944" s="410"/>
    </row>
    <row r="945" spans="14:17">
      <c r="N945" s="27"/>
      <c r="O945" s="27"/>
      <c r="P945" s="27"/>
      <c r="Q945" s="410"/>
    </row>
    <row r="946" spans="14:17">
      <c r="N946" s="27"/>
      <c r="O946" s="27"/>
      <c r="P946" s="27"/>
      <c r="Q946" s="410"/>
    </row>
    <row r="947" spans="14:17">
      <c r="N947" s="27"/>
      <c r="O947" s="27"/>
      <c r="P947" s="27"/>
      <c r="Q947" s="410"/>
    </row>
    <row r="948" spans="14:17">
      <c r="N948" s="27"/>
      <c r="O948" s="27"/>
      <c r="P948" s="27"/>
      <c r="Q948" s="410"/>
    </row>
    <row r="949" spans="14:17">
      <c r="N949" s="27"/>
      <c r="O949" s="27"/>
      <c r="P949" s="27"/>
      <c r="Q949" s="410"/>
    </row>
    <row r="950" spans="14:17">
      <c r="N950" s="27"/>
      <c r="O950" s="27"/>
      <c r="P950" s="27"/>
      <c r="Q950" s="410"/>
    </row>
    <row r="951" spans="14:17">
      <c r="N951" s="27"/>
      <c r="O951" s="27"/>
      <c r="P951" s="27"/>
      <c r="Q951" s="410"/>
    </row>
    <row r="952" spans="14:17">
      <c r="N952" s="27"/>
      <c r="O952" s="27"/>
      <c r="P952" s="27"/>
      <c r="Q952" s="410"/>
    </row>
    <row r="953" spans="14:17">
      <c r="N953" s="27"/>
      <c r="O953" s="27"/>
      <c r="P953" s="27"/>
      <c r="Q953" s="410"/>
    </row>
    <row r="954" spans="14:17">
      <c r="N954" s="27"/>
      <c r="O954" s="27"/>
      <c r="P954" s="27"/>
      <c r="Q954" s="410"/>
    </row>
    <row r="955" spans="14:17">
      <c r="N955" s="27"/>
      <c r="O955" s="27"/>
      <c r="P955" s="27"/>
      <c r="Q955" s="410"/>
    </row>
    <row r="956" spans="14:17">
      <c r="N956" s="27"/>
      <c r="O956" s="27"/>
      <c r="P956" s="27"/>
      <c r="Q956" s="410"/>
    </row>
    <row r="957" spans="14:17">
      <c r="N957" s="27"/>
      <c r="O957" s="27"/>
      <c r="P957" s="27"/>
      <c r="Q957" s="410"/>
    </row>
    <row r="958" spans="14:17">
      <c r="N958" s="27"/>
      <c r="O958" s="27"/>
      <c r="P958" s="27"/>
      <c r="Q958" s="410"/>
    </row>
    <row r="959" spans="14:17">
      <c r="N959" s="27"/>
      <c r="O959" s="27"/>
      <c r="P959" s="27"/>
      <c r="Q959" s="410"/>
    </row>
    <row r="960" spans="14:17">
      <c r="N960" s="27"/>
      <c r="O960" s="27"/>
      <c r="P960" s="27"/>
      <c r="Q960" s="410"/>
    </row>
    <row r="961" spans="14:17">
      <c r="N961" s="27"/>
      <c r="O961" s="27"/>
      <c r="P961" s="27"/>
      <c r="Q961" s="410"/>
    </row>
    <row r="962" spans="14:17">
      <c r="N962" s="27"/>
      <c r="O962" s="27"/>
      <c r="P962" s="27"/>
      <c r="Q962" s="410"/>
    </row>
    <row r="963" spans="14:17">
      <c r="N963" s="27"/>
      <c r="O963" s="27"/>
      <c r="P963" s="27"/>
      <c r="Q963" s="410"/>
    </row>
    <row r="964" spans="14:17">
      <c r="N964" s="27"/>
      <c r="O964" s="27"/>
      <c r="P964" s="27"/>
      <c r="Q964" s="410"/>
    </row>
    <row r="965" spans="14:17">
      <c r="N965" s="27"/>
      <c r="O965" s="27"/>
      <c r="P965" s="27"/>
      <c r="Q965" s="410"/>
    </row>
    <row r="966" spans="14:17">
      <c r="N966" s="27"/>
      <c r="O966" s="27"/>
      <c r="P966" s="27"/>
      <c r="Q966" s="410"/>
    </row>
    <row r="967" spans="14:17">
      <c r="N967" s="27"/>
      <c r="O967" s="27"/>
      <c r="P967" s="27"/>
      <c r="Q967" s="410"/>
    </row>
    <row r="968" spans="14:17">
      <c r="N968" s="27"/>
      <c r="O968" s="27"/>
      <c r="P968" s="27"/>
      <c r="Q968" s="410"/>
    </row>
    <row r="969" spans="14:17">
      <c r="N969" s="27"/>
      <c r="O969" s="27"/>
      <c r="P969" s="27"/>
      <c r="Q969" s="410"/>
    </row>
    <row r="970" spans="14:17">
      <c r="N970" s="27"/>
      <c r="O970" s="27"/>
      <c r="P970" s="27"/>
      <c r="Q970" s="410"/>
    </row>
    <row r="971" spans="14:17">
      <c r="N971" s="27"/>
      <c r="O971" s="27"/>
      <c r="P971" s="27"/>
      <c r="Q971" s="410"/>
    </row>
    <row r="972" spans="14:17">
      <c r="N972" s="27"/>
      <c r="O972" s="27"/>
      <c r="P972" s="27"/>
      <c r="Q972" s="410"/>
    </row>
    <row r="973" spans="14:17">
      <c r="N973" s="27"/>
      <c r="O973" s="27"/>
      <c r="P973" s="27"/>
      <c r="Q973" s="410"/>
    </row>
    <row r="974" spans="14:17">
      <c r="N974" s="27"/>
      <c r="O974" s="27"/>
      <c r="P974" s="27"/>
      <c r="Q974" s="410"/>
    </row>
    <row r="975" spans="14:17">
      <c r="N975" s="27"/>
      <c r="O975" s="27"/>
      <c r="P975" s="27"/>
      <c r="Q975" s="410"/>
    </row>
    <row r="976" spans="14:17">
      <c r="N976" s="27"/>
      <c r="O976" s="27"/>
      <c r="P976" s="27"/>
      <c r="Q976" s="410"/>
    </row>
    <row r="977" spans="14:17">
      <c r="N977" s="27"/>
      <c r="O977" s="27"/>
      <c r="P977" s="27"/>
      <c r="Q977" s="410"/>
    </row>
    <row r="978" spans="14:17">
      <c r="N978" s="27"/>
      <c r="O978" s="27"/>
      <c r="P978" s="27"/>
      <c r="Q978" s="410"/>
    </row>
    <row r="979" spans="14:17">
      <c r="N979" s="27"/>
      <c r="O979" s="27"/>
      <c r="P979" s="27"/>
      <c r="Q979" s="410"/>
    </row>
    <row r="980" spans="14:17">
      <c r="N980" s="27"/>
      <c r="O980" s="27"/>
      <c r="P980" s="27"/>
      <c r="Q980" s="410"/>
    </row>
    <row r="981" spans="14:17">
      <c r="N981" s="27"/>
      <c r="O981" s="27"/>
      <c r="P981" s="27"/>
      <c r="Q981" s="410"/>
    </row>
    <row r="982" spans="14:17">
      <c r="N982" s="27"/>
      <c r="O982" s="27"/>
      <c r="P982" s="27"/>
      <c r="Q982" s="410"/>
    </row>
    <row r="983" spans="14:17">
      <c r="N983" s="27"/>
      <c r="O983" s="27"/>
      <c r="P983" s="27"/>
      <c r="Q983" s="410"/>
    </row>
    <row r="984" spans="14:17">
      <c r="N984" s="27"/>
      <c r="O984" s="27"/>
      <c r="P984" s="27"/>
      <c r="Q984" s="410"/>
    </row>
    <row r="985" spans="14:17">
      <c r="N985" s="27"/>
      <c r="O985" s="27"/>
      <c r="P985" s="27"/>
      <c r="Q985" s="410"/>
    </row>
    <row r="986" spans="14:17">
      <c r="N986" s="27"/>
      <c r="O986" s="27"/>
      <c r="P986" s="27"/>
      <c r="Q986" s="410"/>
    </row>
    <row r="987" spans="14:17">
      <c r="N987" s="27"/>
      <c r="O987" s="27"/>
      <c r="P987" s="27"/>
      <c r="Q987" s="410"/>
    </row>
    <row r="988" spans="14:17">
      <c r="N988" s="27"/>
      <c r="O988" s="27"/>
      <c r="P988" s="27"/>
      <c r="Q988" s="410"/>
    </row>
    <row r="989" spans="14:17">
      <c r="N989" s="27"/>
      <c r="O989" s="27"/>
      <c r="P989" s="27"/>
      <c r="Q989" s="410"/>
    </row>
    <row r="990" spans="14:17">
      <c r="N990" s="27"/>
      <c r="O990" s="27"/>
      <c r="P990" s="27"/>
      <c r="Q990" s="410"/>
    </row>
    <row r="991" spans="14:17">
      <c r="N991" s="27"/>
      <c r="O991" s="27"/>
      <c r="P991" s="27"/>
      <c r="Q991" s="410"/>
    </row>
    <row r="992" spans="14:17">
      <c r="N992" s="27"/>
      <c r="O992" s="27"/>
      <c r="P992" s="27"/>
      <c r="Q992" s="410"/>
    </row>
    <row r="993" spans="14:17">
      <c r="N993" s="27"/>
      <c r="O993" s="27"/>
      <c r="P993" s="27"/>
      <c r="Q993" s="410"/>
    </row>
    <row r="994" spans="14:17">
      <c r="N994" s="27"/>
      <c r="O994" s="27"/>
      <c r="P994" s="27"/>
      <c r="Q994" s="410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2"/>
  <sheetViews>
    <sheetView view="pageBreakPreview" zoomScaleSheetLayoutView="100" workbookViewId="0">
      <pane xSplit="2" ySplit="6" topLeftCell="C22" activePane="bottomRight" state="frozen"/>
      <selection pane="topRight" activeCell="C1" sqref="C1"/>
      <selection pane="bottomLeft" activeCell="A7" sqref="A7"/>
      <selection pane="bottomRight" activeCell="I26" sqref="I26"/>
    </sheetView>
  </sheetViews>
  <sheetFormatPr defaultColWidth="9.140625" defaultRowHeight="12.75"/>
  <cols>
    <col min="1" max="1" width="8" style="245" bestFit="1" customWidth="1"/>
    <col min="2" max="2" width="49.7109375" style="245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8" width="11.7109375" style="246" bestFit="1" customWidth="1"/>
    <col min="9" max="9" width="11.42578125" style="246" bestFit="1" customWidth="1"/>
    <col min="10" max="12" width="10.28515625" style="246" bestFit="1" customWidth="1"/>
    <col min="13" max="13" width="11.5703125" style="246" bestFit="1" customWidth="1"/>
    <col min="14" max="14" width="14" style="245" bestFit="1" customWidth="1"/>
    <col min="15" max="15" width="15" style="245" customWidth="1"/>
    <col min="16" max="16" width="12.42578125" style="245" customWidth="1"/>
    <col min="17" max="16384" width="9.140625" style="245"/>
  </cols>
  <sheetData>
    <row r="1" spans="1:13" ht="21">
      <c r="B1" s="811" t="s">
        <v>280</v>
      </c>
      <c r="C1" s="811"/>
      <c r="D1" s="811"/>
      <c r="E1" s="811"/>
      <c r="F1" s="811"/>
      <c r="G1" s="811"/>
      <c r="H1" s="811"/>
      <c r="I1" s="811"/>
      <c r="J1" s="811"/>
      <c r="K1" s="811"/>
      <c r="L1" s="811"/>
    </row>
    <row r="2" spans="1:13" ht="21">
      <c r="B2" s="811" t="s">
        <v>232</v>
      </c>
      <c r="C2" s="811"/>
      <c r="D2" s="811"/>
      <c r="E2" s="811"/>
      <c r="F2" s="811"/>
      <c r="G2" s="811"/>
      <c r="H2" s="811"/>
      <c r="I2" s="811"/>
      <c r="J2" s="811"/>
      <c r="K2" s="811"/>
      <c r="L2" s="811"/>
    </row>
    <row r="3" spans="1:13" ht="21">
      <c r="B3" s="811" t="str">
        <f>封面!E10&amp;封面!H10&amp;封面!I10&amp;封面!J10&amp;封面!K10&amp;封面!L10</f>
        <v>中華民國113年9月份</v>
      </c>
      <c r="C3" s="811"/>
      <c r="D3" s="811"/>
      <c r="E3" s="811"/>
      <c r="F3" s="811"/>
      <c r="G3" s="811"/>
      <c r="H3" s="811"/>
      <c r="I3" s="811"/>
      <c r="J3" s="811"/>
      <c r="K3" s="811"/>
      <c r="L3" s="811"/>
    </row>
    <row r="4" spans="1:13" ht="21">
      <c r="B4" s="247" t="s">
        <v>294</v>
      </c>
      <c r="C4" s="248"/>
      <c r="D4" s="248"/>
      <c r="E4" s="248"/>
      <c r="F4" s="248"/>
      <c r="G4" s="249"/>
      <c r="H4" s="249"/>
      <c r="I4" s="249"/>
      <c r="J4" s="812"/>
      <c r="K4" s="812"/>
      <c r="L4" s="813"/>
    </row>
    <row r="5" spans="1:13" ht="16.5">
      <c r="A5" s="814" t="s">
        <v>233</v>
      </c>
      <c r="B5" s="815"/>
      <c r="C5" s="818" t="s">
        <v>234</v>
      </c>
      <c r="D5" s="818"/>
      <c r="E5" s="818"/>
      <c r="F5" s="819" t="s">
        <v>235</v>
      </c>
      <c r="G5" s="821" t="s">
        <v>236</v>
      </c>
      <c r="H5" s="822"/>
      <c r="I5" s="822"/>
      <c r="J5" s="822"/>
      <c r="K5" s="822"/>
      <c r="L5" s="823"/>
    </row>
    <row r="6" spans="1:13" ht="39.75" customHeight="1">
      <c r="A6" s="816"/>
      <c r="B6" s="817"/>
      <c r="C6" s="244" t="s">
        <v>237</v>
      </c>
      <c r="D6" s="244" t="s">
        <v>238</v>
      </c>
      <c r="E6" s="244" t="s">
        <v>239</v>
      </c>
      <c r="F6" s="820"/>
      <c r="G6" s="250" t="s">
        <v>462</v>
      </c>
      <c r="H6" s="250" t="s">
        <v>463</v>
      </c>
      <c r="I6" s="250" t="s">
        <v>475</v>
      </c>
      <c r="J6" s="250" t="s">
        <v>474</v>
      </c>
      <c r="K6" s="250" t="s">
        <v>473</v>
      </c>
      <c r="L6" s="250" t="s">
        <v>472</v>
      </c>
    </row>
    <row r="7" spans="1:13" ht="21">
      <c r="A7" s="805" t="s">
        <v>240</v>
      </c>
      <c r="B7" s="806"/>
      <c r="C7" s="244"/>
      <c r="D7" s="244"/>
      <c r="E7" s="244"/>
      <c r="F7" s="251"/>
      <c r="G7" s="824">
        <f>SUM(G8:L9)</f>
        <v>8848001</v>
      </c>
      <c r="H7" s="825"/>
      <c r="I7" s="825"/>
      <c r="J7" s="825"/>
      <c r="K7" s="825"/>
      <c r="L7" s="826"/>
      <c r="M7" s="257">
        <f>SUM(G7:L7)</f>
        <v>8848001</v>
      </c>
    </row>
    <row r="8" spans="1:13" ht="16.5">
      <c r="A8" s="805" t="s">
        <v>241</v>
      </c>
      <c r="B8" s="806"/>
      <c r="C8" s="252"/>
      <c r="D8" s="252"/>
      <c r="E8" s="252"/>
      <c r="F8" s="253"/>
      <c r="G8" s="254">
        <f>'勾稽 (2)'!D25</f>
        <v>1039899</v>
      </c>
      <c r="H8" s="254">
        <f>'勾稽 (2)'!D26</f>
        <v>1039963</v>
      </c>
      <c r="I8" s="254">
        <f>'勾稽 (2)'!D27</f>
        <v>6110411</v>
      </c>
      <c r="J8" s="254">
        <f>'勾稽 (2)'!D28</f>
        <v>0</v>
      </c>
      <c r="K8" s="254">
        <f>'勾稽 (2)'!D29</f>
        <v>500</v>
      </c>
      <c r="L8" s="254">
        <f>'勾稽 (2)'!D30</f>
        <v>657228</v>
      </c>
      <c r="M8" s="257">
        <f>SUM(G8:L8)</f>
        <v>8848001</v>
      </c>
    </row>
    <row r="9" spans="1:13" ht="16.5" hidden="1">
      <c r="A9" s="406"/>
      <c r="B9" s="407" t="s">
        <v>429</v>
      </c>
      <c r="C9" s="252"/>
      <c r="D9" s="252"/>
      <c r="E9" s="252"/>
      <c r="F9" s="253"/>
      <c r="G9" s="254"/>
      <c r="H9" s="254"/>
      <c r="I9" s="254"/>
      <c r="J9" s="254"/>
      <c r="K9" s="254"/>
      <c r="L9" s="254"/>
      <c r="M9" s="257">
        <f>SUM(G9:L9)</f>
        <v>0</v>
      </c>
    </row>
    <row r="10" spans="1:13" ht="16.5">
      <c r="A10" s="805" t="s">
        <v>242</v>
      </c>
      <c r="B10" s="806"/>
      <c r="C10" s="255"/>
      <c r="D10" s="255"/>
      <c r="E10" s="255"/>
      <c r="F10" s="253"/>
      <c r="G10" s="256">
        <f t="shared" ref="G10:J10" si="0">SUM(G11:G15)</f>
        <v>0</v>
      </c>
      <c r="H10" s="256">
        <f t="shared" si="0"/>
        <v>0</v>
      </c>
      <c r="I10" s="256">
        <f t="shared" si="0"/>
        <v>2219965</v>
      </c>
      <c r="J10" s="256">
        <f t="shared" si="0"/>
        <v>0</v>
      </c>
      <c r="K10" s="256">
        <f t="shared" ref="K10" si="1">SUM(K11:K15)</f>
        <v>0</v>
      </c>
      <c r="L10" s="256">
        <f>SUM(L11:L15)</f>
        <v>0</v>
      </c>
      <c r="M10" s="257">
        <f>SUM(G10:L10)</f>
        <v>2219965</v>
      </c>
    </row>
    <row r="11" spans="1:13" ht="16.5">
      <c r="A11" s="282" t="s">
        <v>243</v>
      </c>
      <c r="B11" s="283" t="s">
        <v>930</v>
      </c>
      <c r="C11" s="255"/>
      <c r="D11" s="255"/>
      <c r="E11" s="255"/>
      <c r="F11" s="253"/>
      <c r="G11" s="258"/>
      <c r="H11" s="258"/>
      <c r="I11" s="258">
        <v>375506</v>
      </c>
      <c r="J11" s="258"/>
      <c r="K11" s="258"/>
      <c r="L11" s="258"/>
      <c r="M11" s="257"/>
    </row>
    <row r="12" spans="1:13" ht="16.5">
      <c r="A12" s="282" t="s">
        <v>244</v>
      </c>
      <c r="B12" s="283" t="s">
        <v>933</v>
      </c>
      <c r="C12" s="255"/>
      <c r="D12" s="255"/>
      <c r="E12" s="255"/>
      <c r="F12" s="253"/>
      <c r="G12" s="258"/>
      <c r="H12" s="258"/>
      <c r="I12" s="258">
        <v>12712</v>
      </c>
      <c r="J12" s="258"/>
      <c r="K12" s="258"/>
      <c r="L12" s="258"/>
      <c r="M12" s="257"/>
    </row>
    <row r="13" spans="1:13" ht="16.5">
      <c r="A13" s="282" t="s">
        <v>245</v>
      </c>
      <c r="B13" s="283" t="s">
        <v>931</v>
      </c>
      <c r="C13" s="255"/>
      <c r="D13" s="255"/>
      <c r="E13" s="255"/>
      <c r="F13" s="253"/>
      <c r="G13" s="258"/>
      <c r="H13" s="258"/>
      <c r="I13" s="258">
        <v>932902</v>
      </c>
      <c r="J13" s="258"/>
      <c r="K13" s="258"/>
      <c r="L13" s="258"/>
      <c r="M13" s="257"/>
    </row>
    <row r="14" spans="1:13" ht="16.5">
      <c r="A14" s="282" t="s">
        <v>247</v>
      </c>
      <c r="B14" s="283" t="s">
        <v>932</v>
      </c>
      <c r="C14" s="255"/>
      <c r="D14" s="255"/>
      <c r="E14" s="255"/>
      <c r="F14" s="253"/>
      <c r="G14" s="258"/>
      <c r="H14" s="258"/>
      <c r="I14" s="258">
        <v>730325</v>
      </c>
      <c r="J14" s="258"/>
      <c r="K14" s="258"/>
      <c r="L14" s="258"/>
      <c r="M14" s="257"/>
    </row>
    <row r="15" spans="1:13" ht="16.5">
      <c r="A15" s="282" t="s">
        <v>248</v>
      </c>
      <c r="B15" s="283"/>
      <c r="C15" s="255"/>
      <c r="D15" s="255"/>
      <c r="E15" s="255"/>
      <c r="F15" s="253"/>
      <c r="G15" s="258"/>
      <c r="H15" s="258"/>
      <c r="I15" s="258">
        <v>168520</v>
      </c>
      <c r="J15" s="258"/>
      <c r="K15" s="258"/>
      <c r="L15" s="258"/>
      <c r="M15" s="257"/>
    </row>
    <row r="16" spans="1:13" ht="16.5">
      <c r="A16" s="803" t="s">
        <v>246</v>
      </c>
      <c r="B16" s="806"/>
      <c r="C16" s="255"/>
      <c r="D16" s="255"/>
      <c r="E16" s="255"/>
      <c r="F16" s="253"/>
      <c r="G16" s="259">
        <f t="shared" ref="G16:L16" si="2">SUM(G17:G36)</f>
        <v>0</v>
      </c>
      <c r="H16" s="259">
        <f t="shared" si="2"/>
        <v>0</v>
      </c>
      <c r="I16" s="259">
        <f t="shared" si="2"/>
        <v>205734</v>
      </c>
      <c r="J16" s="259">
        <f t="shared" si="2"/>
        <v>0</v>
      </c>
      <c r="K16" s="259">
        <f t="shared" si="2"/>
        <v>0</v>
      </c>
      <c r="L16" s="259">
        <f t="shared" si="2"/>
        <v>0</v>
      </c>
      <c r="M16" s="257">
        <f>SUM(G16:L16)</f>
        <v>205734</v>
      </c>
    </row>
    <row r="17" spans="1:13" ht="16.5">
      <c r="A17" s="282" t="s">
        <v>243</v>
      </c>
      <c r="B17" s="283" t="s">
        <v>946</v>
      </c>
      <c r="C17" s="260"/>
      <c r="D17" s="260"/>
      <c r="E17" s="260"/>
      <c r="F17" s="253" t="s">
        <v>939</v>
      </c>
      <c r="G17" s="261"/>
      <c r="H17" s="261"/>
      <c r="I17" s="261">
        <v>15400</v>
      </c>
      <c r="J17" s="261"/>
      <c r="K17" s="261"/>
      <c r="L17" s="261"/>
    </row>
    <row r="18" spans="1:13" ht="16.5">
      <c r="A18" s="282" t="s">
        <v>244</v>
      </c>
      <c r="B18" s="283" t="s">
        <v>947</v>
      </c>
      <c r="C18" s="260"/>
      <c r="D18" s="260"/>
      <c r="E18" s="260"/>
      <c r="F18" s="253" t="s">
        <v>940</v>
      </c>
      <c r="G18" s="261"/>
      <c r="H18" s="261"/>
      <c r="I18" s="261">
        <v>17500</v>
      </c>
      <c r="J18" s="261"/>
      <c r="K18" s="261"/>
      <c r="L18" s="261"/>
    </row>
    <row r="19" spans="1:13" ht="16.5">
      <c r="A19" s="282" t="s">
        <v>245</v>
      </c>
      <c r="B19" s="283"/>
      <c r="C19" s="260"/>
      <c r="D19" s="260"/>
      <c r="E19" s="260"/>
      <c r="F19" s="253" t="s">
        <v>941</v>
      </c>
      <c r="G19" s="261"/>
      <c r="H19" s="261"/>
      <c r="I19" s="261">
        <v>6384</v>
      </c>
      <c r="J19" s="261"/>
      <c r="K19" s="261"/>
      <c r="L19" s="261"/>
    </row>
    <row r="20" spans="1:13" ht="16.5">
      <c r="A20" s="282" t="s">
        <v>247</v>
      </c>
      <c r="B20" s="283"/>
      <c r="C20" s="260"/>
      <c r="D20" s="260"/>
      <c r="E20" s="260"/>
      <c r="F20" s="253" t="s">
        <v>942</v>
      </c>
      <c r="G20" s="261"/>
      <c r="H20" s="261"/>
      <c r="I20" s="261">
        <v>6720</v>
      </c>
      <c r="J20" s="261"/>
      <c r="K20" s="261"/>
      <c r="L20" s="261"/>
      <c r="M20" s="245"/>
    </row>
    <row r="21" spans="1:13" ht="16.5">
      <c r="A21" s="282" t="s">
        <v>248</v>
      </c>
      <c r="B21" s="283"/>
      <c r="C21" s="260"/>
      <c r="D21" s="260"/>
      <c r="E21" s="260"/>
      <c r="F21" s="253" t="s">
        <v>943</v>
      </c>
      <c r="G21" s="261"/>
      <c r="H21" s="261"/>
      <c r="I21" s="261">
        <v>6384</v>
      </c>
      <c r="J21" s="261"/>
      <c r="K21" s="261"/>
      <c r="L21" s="261"/>
      <c r="M21" s="245"/>
    </row>
    <row r="22" spans="1:13" ht="16.5">
      <c r="A22" s="282" t="s">
        <v>249</v>
      </c>
      <c r="B22" s="283"/>
      <c r="C22" s="260"/>
      <c r="D22" s="260"/>
      <c r="E22" s="260"/>
      <c r="F22" s="253" t="s">
        <v>944</v>
      </c>
      <c r="G22" s="261"/>
      <c r="H22" s="261"/>
      <c r="I22" s="261">
        <v>72555</v>
      </c>
      <c r="J22" s="261"/>
      <c r="K22" s="261"/>
      <c r="L22" s="261"/>
      <c r="M22" s="245"/>
    </row>
    <row r="23" spans="1:13" ht="16.5">
      <c r="A23" s="282" t="s">
        <v>250</v>
      </c>
      <c r="B23" s="283" t="s">
        <v>935</v>
      </c>
      <c r="C23" s="260"/>
      <c r="D23" s="260"/>
      <c r="E23" s="260"/>
      <c r="F23" s="253"/>
      <c r="G23" s="261"/>
      <c r="H23" s="261"/>
      <c r="I23" s="261">
        <v>3590</v>
      </c>
      <c r="J23" s="261"/>
      <c r="K23" s="261"/>
      <c r="L23" s="261"/>
      <c r="M23" s="245"/>
    </row>
    <row r="24" spans="1:13" ht="16.5">
      <c r="A24" s="282" t="s">
        <v>251</v>
      </c>
      <c r="B24" s="283" t="s">
        <v>945</v>
      </c>
      <c r="C24" s="260"/>
      <c r="D24" s="260"/>
      <c r="E24" s="260"/>
      <c r="F24" s="253"/>
      <c r="G24" s="261"/>
      <c r="H24" s="261"/>
      <c r="I24" s="261">
        <v>14957</v>
      </c>
      <c r="J24" s="261"/>
      <c r="K24" s="261"/>
      <c r="L24" s="261"/>
      <c r="M24" s="245"/>
    </row>
    <row r="25" spans="1:13" ht="16.5">
      <c r="A25" s="282" t="s">
        <v>252</v>
      </c>
      <c r="B25" s="283" t="s">
        <v>936</v>
      </c>
      <c r="C25" s="260"/>
      <c r="D25" s="260"/>
      <c r="E25" s="260"/>
      <c r="F25" s="253"/>
      <c r="G25" s="261"/>
      <c r="H25" s="261"/>
      <c r="I25" s="261">
        <v>6000</v>
      </c>
      <c r="J25" s="261"/>
      <c r="K25" s="261"/>
      <c r="L25" s="261"/>
      <c r="M25" s="245"/>
    </row>
    <row r="26" spans="1:13" ht="16.5">
      <c r="A26" s="282" t="s">
        <v>253</v>
      </c>
      <c r="B26" s="283" t="s">
        <v>935</v>
      </c>
      <c r="C26" s="260"/>
      <c r="D26" s="260"/>
      <c r="E26" s="260"/>
      <c r="F26" s="253"/>
      <c r="G26" s="261"/>
      <c r="H26" s="261"/>
      <c r="I26" s="261">
        <v>4370</v>
      </c>
      <c r="J26" s="261"/>
      <c r="K26" s="261"/>
      <c r="L26" s="261"/>
      <c r="M26" s="245"/>
    </row>
    <row r="27" spans="1:13" ht="16.5">
      <c r="A27" s="282" t="s">
        <v>254</v>
      </c>
      <c r="B27" s="283" t="s">
        <v>934</v>
      </c>
      <c r="C27" s="260"/>
      <c r="D27" s="260"/>
      <c r="E27" s="260"/>
      <c r="F27" s="253"/>
      <c r="G27" s="261"/>
      <c r="H27" s="261"/>
      <c r="I27" s="261">
        <v>23107</v>
      </c>
      <c r="J27" s="261"/>
      <c r="K27" s="261"/>
      <c r="L27" s="261"/>
      <c r="M27" s="245"/>
    </row>
    <row r="28" spans="1:13" ht="16.5">
      <c r="A28" s="282" t="s">
        <v>255</v>
      </c>
      <c r="B28" s="283" t="s">
        <v>937</v>
      </c>
      <c r="C28" s="260"/>
      <c r="D28" s="260"/>
      <c r="E28" s="260"/>
      <c r="F28" s="253"/>
      <c r="G28" s="261"/>
      <c r="H28" s="261"/>
      <c r="I28" s="578">
        <v>6869</v>
      </c>
      <c r="J28" s="261"/>
      <c r="K28" s="261"/>
      <c r="L28" s="261"/>
      <c r="M28" s="245"/>
    </row>
    <row r="29" spans="1:13" ht="16.5">
      <c r="A29" s="282" t="s">
        <v>256</v>
      </c>
      <c r="B29" s="283" t="s">
        <v>936</v>
      </c>
      <c r="C29" s="260"/>
      <c r="D29" s="260"/>
      <c r="E29" s="260"/>
      <c r="F29" s="253"/>
      <c r="G29" s="261"/>
      <c r="H29" s="261"/>
      <c r="I29" s="261">
        <v>9000</v>
      </c>
      <c r="J29" s="261"/>
      <c r="K29" s="261"/>
      <c r="L29" s="261"/>
      <c r="M29" s="245"/>
    </row>
    <row r="30" spans="1:13" ht="16.5">
      <c r="A30" s="282" t="s">
        <v>257</v>
      </c>
      <c r="B30" s="283" t="s">
        <v>938</v>
      </c>
      <c r="C30" s="260"/>
      <c r="D30" s="260"/>
      <c r="E30" s="260"/>
      <c r="F30" s="253"/>
      <c r="G30" s="261"/>
      <c r="H30" s="261"/>
      <c r="I30" s="261">
        <v>2148</v>
      </c>
      <c r="J30" s="261"/>
      <c r="K30" s="261"/>
      <c r="L30" s="261"/>
      <c r="M30" s="245"/>
    </row>
    <row r="31" spans="1:13" ht="16.5">
      <c r="A31" s="282" t="s">
        <v>258</v>
      </c>
      <c r="B31" s="283" t="s">
        <v>935</v>
      </c>
      <c r="C31" s="260"/>
      <c r="D31" s="260"/>
      <c r="E31" s="260"/>
      <c r="F31" s="253"/>
      <c r="G31" s="261"/>
      <c r="H31" s="261"/>
      <c r="I31" s="261">
        <v>6750</v>
      </c>
      <c r="J31" s="261"/>
      <c r="K31" s="261"/>
      <c r="L31" s="261"/>
      <c r="M31" s="245"/>
    </row>
    <row r="32" spans="1:13" ht="16.5" hidden="1">
      <c r="A32" s="282" t="s">
        <v>259</v>
      </c>
      <c r="B32" s="283"/>
      <c r="C32" s="260"/>
      <c r="D32" s="260"/>
      <c r="E32" s="260"/>
      <c r="F32" s="253"/>
      <c r="G32" s="261"/>
      <c r="H32" s="261"/>
      <c r="I32" s="261">
        <v>4000</v>
      </c>
      <c r="J32" s="261"/>
      <c r="K32" s="261"/>
      <c r="L32" s="261"/>
      <c r="M32" s="245"/>
    </row>
    <row r="33" spans="1:15" ht="16.5" hidden="1">
      <c r="A33" s="282" t="s">
        <v>260</v>
      </c>
      <c r="B33" s="283"/>
      <c r="C33" s="260"/>
      <c r="D33" s="260"/>
      <c r="E33" s="260"/>
      <c r="F33" s="253"/>
      <c r="G33" s="261"/>
      <c r="H33" s="261"/>
      <c r="I33" s="261"/>
      <c r="J33" s="261"/>
      <c r="K33" s="261"/>
      <c r="L33" s="261"/>
      <c r="M33" s="245"/>
    </row>
    <row r="34" spans="1:15" ht="16.5" hidden="1">
      <c r="A34" s="282" t="s">
        <v>261</v>
      </c>
      <c r="B34" s="283"/>
      <c r="C34" s="260"/>
      <c r="D34" s="260"/>
      <c r="E34" s="260"/>
      <c r="F34" s="253"/>
      <c r="G34" s="261"/>
      <c r="H34" s="261"/>
      <c r="I34" s="261"/>
      <c r="J34" s="261"/>
      <c r="K34" s="261"/>
      <c r="L34" s="261"/>
      <c r="M34" s="245"/>
    </row>
    <row r="35" spans="1:15" ht="16.5" hidden="1">
      <c r="A35" s="282" t="s">
        <v>262</v>
      </c>
      <c r="B35" s="283"/>
      <c r="C35" s="260"/>
      <c r="D35" s="260"/>
      <c r="E35" s="260"/>
      <c r="F35" s="253"/>
      <c r="G35" s="261"/>
      <c r="H35" s="261"/>
      <c r="I35" s="261"/>
      <c r="J35" s="261"/>
      <c r="K35" s="261"/>
      <c r="L35" s="261"/>
      <c r="M35" s="245"/>
    </row>
    <row r="36" spans="1:15" ht="16.5" hidden="1">
      <c r="A36" s="282" t="s">
        <v>263</v>
      </c>
      <c r="B36" s="283"/>
      <c r="C36" s="260"/>
      <c r="D36" s="260"/>
      <c r="E36" s="260"/>
      <c r="F36" s="253"/>
      <c r="G36" s="261"/>
      <c r="H36" s="261"/>
      <c r="I36" s="261"/>
      <c r="J36" s="261"/>
      <c r="K36" s="261"/>
      <c r="L36" s="261"/>
    </row>
    <row r="37" spans="1:15" ht="16.5" hidden="1">
      <c r="A37" s="803" t="s">
        <v>274</v>
      </c>
      <c r="B37" s="804"/>
      <c r="C37" s="262"/>
      <c r="D37" s="262"/>
      <c r="E37" s="262"/>
      <c r="F37" s="253"/>
      <c r="G37" s="263">
        <f t="shared" ref="G37:J37" si="3">SUM(G38:G40)</f>
        <v>0</v>
      </c>
      <c r="H37" s="263">
        <f t="shared" si="3"/>
        <v>0</v>
      </c>
      <c r="I37" s="263">
        <f t="shared" si="3"/>
        <v>0</v>
      </c>
      <c r="J37" s="263">
        <f t="shared" si="3"/>
        <v>0</v>
      </c>
      <c r="K37" s="263">
        <f t="shared" ref="K37" si="4">SUM(K38:K40)</f>
        <v>0</v>
      </c>
      <c r="L37" s="263">
        <f>SUM(L38:L40)</f>
        <v>0</v>
      </c>
      <c r="M37" s="257">
        <f>SUM(G37:L37)</f>
        <v>0</v>
      </c>
      <c r="N37" s="264"/>
    </row>
    <row r="38" spans="1:15" ht="16.5" hidden="1">
      <c r="A38" s="282" t="s">
        <v>275</v>
      </c>
      <c r="B38" s="283"/>
      <c r="C38" s="265"/>
      <c r="D38" s="265"/>
      <c r="E38" s="265"/>
      <c r="F38" s="266"/>
      <c r="G38" s="261"/>
      <c r="H38" s="261"/>
      <c r="I38" s="261"/>
      <c r="J38" s="261"/>
      <c r="K38" s="261"/>
      <c r="L38" s="261"/>
      <c r="N38" s="267"/>
    </row>
    <row r="39" spans="1:15" ht="16.5" hidden="1">
      <c r="A39" s="282" t="s">
        <v>244</v>
      </c>
      <c r="B39" s="283"/>
      <c r="C39" s="265"/>
      <c r="D39" s="265"/>
      <c r="E39" s="265"/>
      <c r="F39" s="266"/>
      <c r="G39" s="261"/>
      <c r="H39" s="261"/>
      <c r="I39" s="261"/>
      <c r="J39" s="261"/>
      <c r="K39" s="261"/>
      <c r="L39" s="261"/>
      <c r="N39" s="267"/>
    </row>
    <row r="40" spans="1:15" ht="16.5" hidden="1">
      <c r="A40" s="282" t="s">
        <v>245</v>
      </c>
      <c r="B40" s="283"/>
      <c r="C40" s="265"/>
      <c r="D40" s="265"/>
      <c r="E40" s="265"/>
      <c r="F40" s="266"/>
      <c r="G40" s="261"/>
      <c r="H40" s="261"/>
      <c r="I40" s="261"/>
      <c r="J40" s="261"/>
      <c r="K40" s="261"/>
      <c r="L40" s="261"/>
      <c r="N40" s="267"/>
    </row>
    <row r="41" spans="1:15" ht="16.5" hidden="1">
      <c r="A41" s="803" t="s">
        <v>276</v>
      </c>
      <c r="B41" s="804"/>
      <c r="C41" s="262"/>
      <c r="D41" s="262"/>
      <c r="E41" s="262"/>
      <c r="F41" s="253"/>
      <c r="G41" s="263">
        <f t="shared" ref="G41:J41" si="5">SUM(G42:G44)</f>
        <v>0</v>
      </c>
      <c r="H41" s="263">
        <f t="shared" si="5"/>
        <v>0</v>
      </c>
      <c r="I41" s="263">
        <f t="shared" si="5"/>
        <v>0</v>
      </c>
      <c r="J41" s="263">
        <f t="shared" si="5"/>
        <v>0</v>
      </c>
      <c r="K41" s="263">
        <f t="shared" ref="K41" si="6">SUM(K42:K44)</f>
        <v>0</v>
      </c>
      <c r="L41" s="263">
        <f>SUM(L42:L44)</f>
        <v>0</v>
      </c>
      <c r="M41" s="257">
        <f>SUM(G41:L41)</f>
        <v>0</v>
      </c>
      <c r="N41" s="264"/>
    </row>
    <row r="42" spans="1:15" ht="16.5" hidden="1">
      <c r="A42" s="282" t="s">
        <v>275</v>
      </c>
      <c r="B42" s="283"/>
      <c r="C42" s="265"/>
      <c r="D42" s="265"/>
      <c r="E42" s="265"/>
      <c r="F42" s="266"/>
      <c r="G42" s="261"/>
      <c r="H42" s="261"/>
      <c r="I42" s="261"/>
      <c r="J42" s="261"/>
      <c r="K42" s="261"/>
      <c r="L42" s="261"/>
      <c r="N42" s="267"/>
    </row>
    <row r="43" spans="1:15" ht="16.5" hidden="1">
      <c r="A43" s="282" t="s">
        <v>244</v>
      </c>
      <c r="B43" s="283"/>
      <c r="C43" s="265"/>
      <c r="D43" s="265"/>
      <c r="E43" s="265"/>
      <c r="F43" s="266"/>
      <c r="G43" s="261"/>
      <c r="H43" s="261"/>
      <c r="I43" s="261"/>
      <c r="J43" s="261"/>
      <c r="K43" s="261"/>
      <c r="L43" s="261"/>
      <c r="N43" s="267"/>
    </row>
    <row r="44" spans="1:15" ht="16.5" hidden="1">
      <c r="A44" s="282" t="s">
        <v>245</v>
      </c>
      <c r="B44" s="283"/>
      <c r="C44" s="265"/>
      <c r="D44" s="265"/>
      <c r="E44" s="265"/>
      <c r="F44" s="266"/>
      <c r="G44" s="261"/>
      <c r="H44" s="261"/>
      <c r="I44" s="261"/>
      <c r="J44" s="261"/>
      <c r="K44" s="261"/>
      <c r="L44" s="261"/>
      <c r="N44" s="267"/>
    </row>
    <row r="45" spans="1:15" ht="16.5">
      <c r="A45" s="805" t="s">
        <v>277</v>
      </c>
      <c r="B45" s="806"/>
      <c r="C45" s="255"/>
      <c r="D45" s="255"/>
      <c r="E45" s="255"/>
      <c r="F45" s="253"/>
      <c r="G45" s="268">
        <f t="shared" ref="G45:L45" si="7">G8+G10+G16-G37-G41</f>
        <v>1039899</v>
      </c>
      <c r="H45" s="268">
        <f t="shared" si="7"/>
        <v>1039963</v>
      </c>
      <c r="I45" s="268">
        <f t="shared" si="7"/>
        <v>8536110</v>
      </c>
      <c r="J45" s="268">
        <f t="shared" si="7"/>
        <v>0</v>
      </c>
      <c r="K45" s="268">
        <f t="shared" si="7"/>
        <v>500</v>
      </c>
      <c r="L45" s="268">
        <f t="shared" si="7"/>
        <v>657228</v>
      </c>
      <c r="M45" s="257">
        <f>SUM(G45:L45)</f>
        <v>11273700</v>
      </c>
      <c r="N45" s="269"/>
      <c r="O45" s="270"/>
    </row>
    <row r="46" spans="1:15" ht="16.5" hidden="1">
      <c r="A46" s="406"/>
      <c r="B46" s="407" t="s">
        <v>429</v>
      </c>
      <c r="C46" s="255"/>
      <c r="D46" s="255"/>
      <c r="E46" s="255"/>
      <c r="F46" s="253"/>
      <c r="G46" s="405">
        <f t="shared" ref="G46:L46" si="8">G9</f>
        <v>0</v>
      </c>
      <c r="H46" s="405">
        <f t="shared" si="8"/>
        <v>0</v>
      </c>
      <c r="I46" s="405">
        <f t="shared" si="8"/>
        <v>0</v>
      </c>
      <c r="J46" s="405">
        <f t="shared" si="8"/>
        <v>0</v>
      </c>
      <c r="K46" s="405">
        <f t="shared" si="8"/>
        <v>0</v>
      </c>
      <c r="L46" s="405">
        <f t="shared" si="8"/>
        <v>0</v>
      </c>
      <c r="M46" s="257">
        <f>SUM(G46:L46)</f>
        <v>0</v>
      </c>
      <c r="N46" s="269"/>
      <c r="O46" s="270"/>
    </row>
    <row r="47" spans="1:15" ht="21">
      <c r="A47" s="805" t="s">
        <v>278</v>
      </c>
      <c r="B47" s="806"/>
      <c r="C47" s="255"/>
      <c r="D47" s="255"/>
      <c r="E47" s="255"/>
      <c r="F47" s="253"/>
      <c r="G47" s="807">
        <f>SUM(G45:L46)</f>
        <v>11273700</v>
      </c>
      <c r="H47" s="808"/>
      <c r="I47" s="808"/>
      <c r="J47" s="808"/>
      <c r="K47" s="808"/>
      <c r="L47" s="809"/>
      <c r="M47" s="257">
        <f>SUM(G47:L47)</f>
        <v>11273700</v>
      </c>
      <c r="N47" s="269"/>
      <c r="O47" s="270"/>
    </row>
    <row r="48" spans="1:15" ht="16.5">
      <c r="B48" s="271"/>
      <c r="C48" s="248"/>
      <c r="D48" s="248"/>
      <c r="E48" s="248"/>
      <c r="F48" s="248"/>
      <c r="G48" s="249"/>
      <c r="H48" s="249"/>
      <c r="I48" s="249"/>
      <c r="J48" s="249"/>
      <c r="K48" s="249"/>
      <c r="L48" s="249"/>
      <c r="N48" s="272"/>
      <c r="O48" s="273"/>
    </row>
    <row r="49" spans="2:16" ht="16.5">
      <c r="B49" s="271" t="s">
        <v>948</v>
      </c>
      <c r="C49" s="810" t="s">
        <v>949</v>
      </c>
      <c r="D49" s="810"/>
      <c r="E49" s="810"/>
      <c r="F49" s="810"/>
      <c r="G49" s="274"/>
      <c r="H49" s="274" t="s">
        <v>264</v>
      </c>
      <c r="I49" s="274"/>
      <c r="J49" s="274"/>
      <c r="K49" s="274"/>
      <c r="L49" s="249"/>
      <c r="N49" s="275"/>
      <c r="O49" s="273"/>
    </row>
    <row r="50" spans="2:16" s="431" customFormat="1" ht="16.5">
      <c r="B50" s="425"/>
      <c r="C50" s="426" t="s">
        <v>951</v>
      </c>
      <c r="D50" s="426"/>
      <c r="E50" s="426"/>
      <c r="F50" s="576" t="s">
        <v>432</v>
      </c>
      <c r="G50" s="577">
        <v>1039899</v>
      </c>
      <c r="H50" s="577">
        <v>1039963</v>
      </c>
      <c r="I50" s="577">
        <v>8367590</v>
      </c>
      <c r="J50" s="577">
        <v>0</v>
      </c>
      <c r="K50" s="577">
        <v>500</v>
      </c>
      <c r="L50" s="577">
        <v>657228</v>
      </c>
      <c r="M50" s="432"/>
      <c r="N50" s="427"/>
      <c r="O50" s="428"/>
    </row>
    <row r="51" spans="2:16" s="431" customFormat="1" ht="16.5">
      <c r="C51" s="433"/>
      <c r="D51" s="433"/>
      <c r="E51" s="433"/>
      <c r="F51" s="433"/>
      <c r="G51" s="575">
        <f>G45-G50</f>
        <v>0</v>
      </c>
      <c r="H51" s="575">
        <f t="shared" ref="H51:L51" si="9">H45-H50</f>
        <v>0</v>
      </c>
      <c r="I51" s="575">
        <f t="shared" si="9"/>
        <v>168520</v>
      </c>
      <c r="J51" s="575">
        <f t="shared" si="9"/>
        <v>0</v>
      </c>
      <c r="K51" s="575">
        <f t="shared" ref="K51" si="10">K45-K50</f>
        <v>0</v>
      </c>
      <c r="L51" s="575">
        <f t="shared" si="9"/>
        <v>0</v>
      </c>
      <c r="M51" s="432"/>
      <c r="N51" s="429"/>
      <c r="O51" s="430"/>
      <c r="P51" s="430"/>
    </row>
    <row r="52" spans="2:16" ht="16.5">
      <c r="N52" s="277"/>
      <c r="O52" s="277"/>
      <c r="P52" s="277"/>
    </row>
  </sheetData>
  <mergeCells count="19">
    <mergeCell ref="A37:B37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6:B16"/>
    <mergeCell ref="A41:B41"/>
    <mergeCell ref="A45:B45"/>
    <mergeCell ref="A47:B47"/>
    <mergeCell ref="G47:L47"/>
    <mergeCell ref="C49:F49"/>
  </mergeCells>
  <phoneticPr fontId="10" type="noConversion"/>
  <conditionalFormatting sqref="C8:E9">
    <cfRule type="expression" dxfId="38" priority="56" stopIfTrue="1">
      <formula>AND($O8&gt;0,$O8=$P8)</formula>
    </cfRule>
  </conditionalFormatting>
  <conditionalFormatting sqref="C17:E23 C34:E40 C25:E25">
    <cfRule type="expression" dxfId="37" priority="57" stopIfTrue="1">
      <formula>AND($N17&gt;0,$N17=$O17)</formula>
    </cfRule>
  </conditionalFormatting>
  <conditionalFormatting sqref="C41:E44">
    <cfRule type="expression" dxfId="36" priority="55" stopIfTrue="1">
      <formula>AND($N41&gt;0,$N41=$O41)</formula>
    </cfRule>
  </conditionalFormatting>
  <conditionalFormatting sqref="L9 G9:J9">
    <cfRule type="expression" dxfId="35" priority="58" stopIfTrue="1">
      <formula>LEN(#REF!)&gt;7</formula>
    </cfRule>
    <cfRule type="expression" dxfId="34" priority="59" stopIfTrue="1">
      <formula>#REF!&lt;&gt;0</formula>
    </cfRule>
  </conditionalFormatting>
  <conditionalFormatting sqref="K9">
    <cfRule type="expression" dxfId="33" priority="53" stopIfTrue="1">
      <formula>LEN(#REF!)&gt;7</formula>
    </cfRule>
    <cfRule type="expression" dxfId="32" priority="54" stopIfTrue="1">
      <formula>#REF!&lt;&gt;0</formula>
    </cfRule>
  </conditionalFormatting>
  <conditionalFormatting sqref="G51:L51">
    <cfRule type="cellIs" dxfId="31" priority="52" operator="notEqual">
      <formula>0</formula>
    </cfRule>
  </conditionalFormatting>
  <conditionalFormatting sqref="L8 G8:J8">
    <cfRule type="expression" dxfId="30" priority="50" stopIfTrue="1">
      <formula>LEN(#REF!)&gt;7</formula>
    </cfRule>
    <cfRule type="expression" dxfId="29" priority="51" stopIfTrue="1">
      <formula>#REF!&lt;&gt;0</formula>
    </cfRule>
  </conditionalFormatting>
  <conditionalFormatting sqref="K8">
    <cfRule type="expression" dxfId="28" priority="48" stopIfTrue="1">
      <formula>LEN(#REF!)&gt;7</formula>
    </cfRule>
    <cfRule type="expression" dxfId="27" priority="49" stopIfTrue="1">
      <formula>#REF!&lt;&gt;0</formula>
    </cfRule>
  </conditionalFormatting>
  <conditionalFormatting sqref="C32:E32">
    <cfRule type="expression" dxfId="26" priority="15" stopIfTrue="1">
      <formula>AND($N32&gt;0,$N32=$O32)</formula>
    </cfRule>
  </conditionalFormatting>
  <conditionalFormatting sqref="C24:E24">
    <cfRule type="expression" dxfId="25" priority="36" stopIfTrue="1">
      <formula>AND($N24&gt;0,$N24=$O24)</formula>
    </cfRule>
  </conditionalFormatting>
  <conditionalFormatting sqref="C26:E26">
    <cfRule type="expression" dxfId="24" priority="35" stopIfTrue="1">
      <formula>AND($N26&gt;0,$N26=$O26)</formula>
    </cfRule>
  </conditionalFormatting>
  <conditionalFormatting sqref="C27:E27">
    <cfRule type="expression" dxfId="23" priority="34" stopIfTrue="1">
      <formula>AND($N27&gt;0,$N27=$O27)</formula>
    </cfRule>
  </conditionalFormatting>
  <conditionalFormatting sqref="C28:E28">
    <cfRule type="expression" dxfId="22" priority="33" stopIfTrue="1">
      <formula>AND($N28&gt;0,$N28=$O28)</formula>
    </cfRule>
  </conditionalFormatting>
  <conditionalFormatting sqref="C33:E33">
    <cfRule type="expression" dxfId="21" priority="23" stopIfTrue="1">
      <formula>AND($N33&gt;0,$N33=$O33)</formula>
    </cfRule>
  </conditionalFormatting>
  <conditionalFormatting sqref="C29:E29">
    <cfRule type="expression" dxfId="20" priority="22" stopIfTrue="1">
      <formula>AND($N29&gt;0,$N29=$O29)</formula>
    </cfRule>
  </conditionalFormatting>
  <conditionalFormatting sqref="C30:E30">
    <cfRule type="expression" dxfId="19" priority="21" stopIfTrue="1">
      <formula>AND($N30&gt;0,$N30=$O30)</formula>
    </cfRule>
  </conditionalFormatting>
  <conditionalFormatting sqref="C31:E31">
    <cfRule type="expression" dxfId="18" priority="20" stopIfTrue="1">
      <formula>AND($N31&gt;0,$N31=$O31)</formula>
    </cfRule>
  </conditionalFormatting>
  <conditionalFormatting sqref="C32:E32">
    <cfRule type="expression" dxfId="17" priority="19" stopIfTrue="1">
      <formula>AND($N32&gt;0,$N32=$O32)</formula>
    </cfRule>
  </conditionalFormatting>
  <conditionalFormatting sqref="C29:E29">
    <cfRule type="expression" dxfId="16" priority="18" stopIfTrue="1">
      <formula>AND($N29&gt;0,$N29=$O29)</formula>
    </cfRule>
  </conditionalFormatting>
  <conditionalFormatting sqref="C30:E30">
    <cfRule type="expression" dxfId="15" priority="17" stopIfTrue="1">
      <formula>AND($N30&gt;0,$N30=$O30)</formula>
    </cfRule>
  </conditionalFormatting>
  <conditionalFormatting sqref="C31:E31">
    <cfRule type="expression" dxfId="14" priority="16" stopIfTrue="1">
      <formula>AND($N31&gt;0,$N31=$O31)</formula>
    </cfRule>
  </conditionalFormatting>
  <conditionalFormatting sqref="C33:E33">
    <cfRule type="expression" dxfId="13" priority="14" stopIfTrue="1">
      <formula>AND($N33&gt;0,$N33=$O33)</formula>
    </cfRule>
  </conditionalFormatting>
  <conditionalFormatting sqref="C24:E24">
    <cfRule type="expression" dxfId="12" priority="13" stopIfTrue="1">
      <formula>AND($N24&gt;0,$N24=$O24)</formula>
    </cfRule>
  </conditionalFormatting>
  <conditionalFormatting sqref="C31:E31">
    <cfRule type="expression" dxfId="11" priority="1" stopIfTrue="1">
      <formula>AND($N31&gt;0,$N31=$O31)</formula>
    </cfRule>
  </conditionalFormatting>
  <conditionalFormatting sqref="C23:E23">
    <cfRule type="expression" dxfId="10" priority="12" stopIfTrue="1">
      <formula>AND($N23&gt;0,$N23=$O23)</formula>
    </cfRule>
  </conditionalFormatting>
  <conditionalFormatting sqref="C25:E25">
    <cfRule type="expression" dxfId="9" priority="11" stopIfTrue="1">
      <formula>AND($N25&gt;0,$N25=$O25)</formula>
    </cfRule>
  </conditionalFormatting>
  <conditionalFormatting sqref="C26:E26">
    <cfRule type="expression" dxfId="8" priority="10" stopIfTrue="1">
      <formula>AND($N26&gt;0,$N26=$O26)</formula>
    </cfRule>
  </conditionalFormatting>
  <conditionalFormatting sqref="C27:E27">
    <cfRule type="expression" dxfId="7" priority="9" stopIfTrue="1">
      <formula>AND($N27&gt;0,$N27=$O27)</formula>
    </cfRule>
  </conditionalFormatting>
  <conditionalFormatting sqref="C28:E28">
    <cfRule type="expression" dxfId="6" priority="8" stopIfTrue="1">
      <formula>AND($N28&gt;0,$N28=$O28)</formula>
    </cfRule>
  </conditionalFormatting>
  <conditionalFormatting sqref="C29:E29">
    <cfRule type="expression" dxfId="5" priority="7" stopIfTrue="1">
      <formula>AND($N29&gt;0,$N29=$O29)</formula>
    </cfRule>
  </conditionalFormatting>
  <conditionalFormatting sqref="C30:E30">
    <cfRule type="expression" dxfId="4" priority="6" stopIfTrue="1">
      <formula>AND($N30&gt;0,$N30=$O30)</formula>
    </cfRule>
  </conditionalFormatting>
  <conditionalFormatting sqref="C31:E31">
    <cfRule type="expression" dxfId="3" priority="5" stopIfTrue="1">
      <formula>AND($N31&gt;0,$N31=$O31)</formula>
    </cfRule>
  </conditionalFormatting>
  <conditionalFormatting sqref="C28:E28">
    <cfRule type="expression" dxfId="2" priority="4" stopIfTrue="1">
      <formula>AND($N28&gt;0,$N28=$O28)</formula>
    </cfRule>
  </conditionalFormatting>
  <conditionalFormatting sqref="C29:E29">
    <cfRule type="expression" dxfId="1" priority="3" stopIfTrue="1">
      <formula>AND($N29&gt;0,$N29=$O29)</formula>
    </cfRule>
  </conditionalFormatting>
  <conditionalFormatting sqref="C30:E30">
    <cfRule type="expression" dxfId="0" priority="2" stopIfTrue="1">
      <formula>AND($N30&gt;0,$N30=$O30)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49" bestFit="1" customWidth="1"/>
    <col min="4" max="5" width="11.5703125" style="131" customWidth="1"/>
    <col min="6" max="6" width="12.85546875" style="131" bestFit="1" customWidth="1"/>
    <col min="7" max="7" width="17.85546875" style="131" customWidth="1"/>
    <col min="8" max="8" width="9.5703125" customWidth="1"/>
  </cols>
  <sheetData>
    <row r="1" spans="1:8">
      <c r="A1" s="601" t="s">
        <v>143</v>
      </c>
      <c r="B1" s="601"/>
    </row>
    <row r="2" spans="1:8">
      <c r="A2" s="602" t="s">
        <v>144</v>
      </c>
      <c r="B2" s="601"/>
    </row>
    <row r="3" spans="1:8">
      <c r="A3" s="601" t="s">
        <v>145</v>
      </c>
      <c r="B3" s="601"/>
    </row>
    <row r="4" spans="1:8" ht="28.5">
      <c r="A4" s="601" t="s">
        <v>146</v>
      </c>
      <c r="B4" s="601"/>
      <c r="C4" s="150" t="s">
        <v>178</v>
      </c>
      <c r="D4" s="162" t="s">
        <v>179</v>
      </c>
      <c r="E4" s="131" t="s">
        <v>181</v>
      </c>
      <c r="F4" s="162" t="s">
        <v>180</v>
      </c>
    </row>
    <row r="5" spans="1:8">
      <c r="A5" s="602" t="s">
        <v>147</v>
      </c>
      <c r="B5" s="601"/>
      <c r="C5" s="151" t="e">
        <f>VLOOKUP("應付費用",平衡!$N$13:$T$71,4,0)</f>
        <v>#N/A</v>
      </c>
      <c r="D5" s="152">
        <f>縣庫對帳!P6</f>
        <v>343904</v>
      </c>
      <c r="E5" s="152">
        <v>40000</v>
      </c>
      <c r="F5" s="152">
        <f>庫款差額!C8+庫款差額!C15-庫款差額!C18-庫款差額!C21</f>
        <v>9596000</v>
      </c>
    </row>
    <row r="6" spans="1:8" ht="15" thickBot="1">
      <c r="A6" s="599" t="s">
        <v>148</v>
      </c>
      <c r="B6" s="600"/>
      <c r="C6" s="149" t="s">
        <v>162</v>
      </c>
      <c r="D6" s="164">
        <f>VLOOKUP("銀行存款-縣庫存款",平衡!$E$13:$H$48,4,0)+VLOOKUP("零用及週轉金",平衡!$D$13:$H$48,5,0)</f>
        <v>7170429</v>
      </c>
      <c r="E6" s="164" t="e">
        <f>VLOOKUP("基金餘額",平衡!$K$13:$T$71,7,0)+C5</f>
        <v>#N/A</v>
      </c>
      <c r="F6" s="135" t="s">
        <v>161</v>
      </c>
    </row>
    <row r="7" spans="1:8" ht="15" thickBot="1">
      <c r="A7" s="599" t="s">
        <v>149</v>
      </c>
      <c r="B7" s="600"/>
      <c r="C7" s="149" t="s">
        <v>163</v>
      </c>
      <c r="D7" s="164">
        <f>VLOOKUP("銀行存款-專戶存款",平衡!$E$13:$H$48,4,0)+VLOOKUP("其他預付款",平衡!$D$13:$H$48,5,0)</f>
        <v>9711663</v>
      </c>
      <c r="E7" s="164" t="e">
        <f>VLOOKUP("應付代收款",平衡!$N$13:$T$48,7,0)+VLOOKUP("存入保證金",平衡!$N$13:$T$48,7,0)</f>
        <v>#N/A</v>
      </c>
      <c r="F7" s="135" t="s">
        <v>164</v>
      </c>
    </row>
    <row r="8" spans="1:8" ht="20.25" thickBot="1">
      <c r="A8" s="65" t="s">
        <v>123</v>
      </c>
      <c r="B8" s="66" t="s">
        <v>124</v>
      </c>
      <c r="C8" s="149" t="s">
        <v>160</v>
      </c>
      <c r="D8" s="165">
        <f>VLOOKUP("合計：",平衡!$A$13:$H$48,8,0)</f>
        <v>354890920</v>
      </c>
      <c r="E8" s="165" t="e">
        <f>VLOOKUP("合計：",平衡!$K$13:$T$48,10,0)</f>
        <v>#N/A</v>
      </c>
    </row>
    <row r="9" spans="1:8" ht="17.25" thickBot="1">
      <c r="A9" s="61" t="s">
        <v>125</v>
      </c>
      <c r="B9" s="62" t="s">
        <v>126</v>
      </c>
      <c r="C9" s="149" t="s">
        <v>167</v>
      </c>
      <c r="D9" s="165">
        <f>VLOOKUP("基金用途",餘絀表!$C$16:$T$48,18,0)</f>
        <v>117794097</v>
      </c>
      <c r="E9" s="165">
        <f>VLOOKUP("合       計",各項費用!$D$12:$Q$86,14)</f>
        <v>117794097</v>
      </c>
      <c r="F9" s="165" t="e">
        <f>縣庫對帳!P3</f>
        <v>#N/A</v>
      </c>
    </row>
    <row r="10" spans="1:8" ht="33.75" thickBot="1">
      <c r="A10" s="61" t="s">
        <v>127</v>
      </c>
      <c r="B10" s="62" t="s">
        <v>128</v>
      </c>
      <c r="C10" s="149" t="s">
        <v>311</v>
      </c>
      <c r="D10" s="165">
        <f>VLOOKUP("基金來源",餘絀表!$C$16:$T$48,18,0)</f>
        <v>116553492</v>
      </c>
      <c r="E10" s="165">
        <f>縣庫對帳!N3</f>
        <v>116553492</v>
      </c>
      <c r="F10" s="165"/>
      <c r="G10" s="165"/>
      <c r="H10" s="131" t="e">
        <f>D13-E13</f>
        <v>#N/A</v>
      </c>
    </row>
    <row r="11" spans="1:8" ht="27" customHeight="1">
      <c r="A11" s="603" t="s">
        <v>27</v>
      </c>
      <c r="B11" s="603" t="s">
        <v>129</v>
      </c>
      <c r="C11" s="149" t="s">
        <v>322</v>
      </c>
      <c r="D11" s="165">
        <f>VLOOKUP("政府撥入收入",餘絀表!$C$16:$T$48,18,0)</f>
        <v>116078564</v>
      </c>
      <c r="E11" s="165"/>
      <c r="F11" s="165">
        <f>VLOOKUP("政府撥入收入",收支!$B$14:$N$63,13,0)</f>
        <v>116078564</v>
      </c>
      <c r="G11" s="165">
        <f>VLOOKUP("政府撥入收入",對照表!$B$1:$E$29,4,0)</f>
        <v>116078564</v>
      </c>
    </row>
    <row r="12" spans="1:8" ht="28.5">
      <c r="A12" s="606"/>
      <c r="B12" s="606"/>
      <c r="C12" s="149" t="s">
        <v>323</v>
      </c>
      <c r="D12" s="165"/>
      <c r="E12" s="165"/>
      <c r="F12" s="165">
        <f>VLOOKUP("收入",收支!$A$14:$N$63,14,0)</f>
        <v>140829072</v>
      </c>
      <c r="G12" s="165">
        <f>VLOOKUP("基金來源",對照表!$A$1:$E$29,5,0)</f>
        <v>140829072</v>
      </c>
    </row>
    <row r="13" spans="1:8">
      <c r="A13" s="606"/>
      <c r="B13" s="606"/>
      <c r="C13" s="149" t="s">
        <v>308</v>
      </c>
      <c r="D13" s="165" t="e">
        <f>IF(封面!J10=12,0,VLOOKUP($G$13,平衡!$N$13:$T$48,7,0))</f>
        <v>#N/A</v>
      </c>
      <c r="E13" s="165" t="e">
        <f>IF(封面!J10=12,0,VLOOKUP("本期賸餘（短絀）",收支!$A$14:$N$37,14,0))</f>
        <v>#N/A</v>
      </c>
      <c r="F13" s="165">
        <f>IF(封面!K10=12,0,VLOOKUP("本期賸餘(短絀)",對照表!$A$1:$E$29,5,0))</f>
        <v>-1160983</v>
      </c>
      <c r="G13" s="163" t="e">
        <f>IF(E13&gt;=0,"本期賸餘","本期短絀")</f>
        <v>#N/A</v>
      </c>
    </row>
    <row r="14" spans="1:8">
      <c r="A14" s="606"/>
      <c r="B14" s="606"/>
      <c r="C14" s="149" t="s">
        <v>309</v>
      </c>
      <c r="D14" s="165">
        <f>IF(封面!J10=12,0,VLOOKUP("本期賸餘(短絀－)",餘絀表!$C$16:$T$51,18,0))</f>
        <v>-1240605</v>
      </c>
      <c r="E14" s="165"/>
      <c r="F14" s="165">
        <f>IF(封面!K11=12,0,VLOOKUP("本期賸餘(短絀)",對照表!$A$1:$C$29,3,0))</f>
        <v>-1240605</v>
      </c>
      <c r="G14" s="163"/>
    </row>
    <row r="15" spans="1:8">
      <c r="A15" s="606"/>
      <c r="B15" s="606"/>
      <c r="C15" s="149" t="s">
        <v>310</v>
      </c>
      <c r="D15" s="165">
        <f>IF(封面!J12=12,0,VLOOKUP($G$15,平衡!$K$13:$T$48,10,0))</f>
        <v>343116147</v>
      </c>
      <c r="E15" s="165" t="e">
        <f>IF(封面!J12=12,0,VLOOKUP("期末淨資產",收支!$A$14:$N$37,14,0))</f>
        <v>#N/A</v>
      </c>
      <c r="F15" s="165" t="e">
        <f>IF(封面!K12=12,0,VLOOKUP("期末基金餘額",對照表!$A$1:$E$29,5,0))</f>
        <v>#N/A</v>
      </c>
      <c r="G15" s="163" t="s">
        <v>310</v>
      </c>
    </row>
    <row r="16" spans="1:8" ht="15" thickBot="1">
      <c r="A16" s="607"/>
      <c r="B16" s="607"/>
      <c r="C16" s="149" t="s">
        <v>152</v>
      </c>
      <c r="D16" s="165">
        <f>VLOOKUP("國民教育計畫",主要業務!$B$15:$J$23,7,0)</f>
        <v>9487900</v>
      </c>
      <c r="E16" s="165">
        <f>VLOOKUP("國民教育計畫",餘絀表!$C$16:$T$48,9,0)</f>
        <v>0</v>
      </c>
    </row>
    <row r="17" spans="1:8">
      <c r="A17" s="603" t="s">
        <v>141</v>
      </c>
      <c r="B17" s="603" t="s">
        <v>130</v>
      </c>
      <c r="C17" s="149" t="s">
        <v>153</v>
      </c>
      <c r="D17" s="165">
        <f>主要業務!H17</f>
        <v>117672097</v>
      </c>
      <c r="E17" s="165">
        <f>VLOOKUP("國民教育計畫",餘絀表!$C$16:$T$48,18,0)</f>
        <v>117672097</v>
      </c>
    </row>
    <row r="18" spans="1:8">
      <c r="A18" s="604"/>
      <c r="B18" s="606"/>
      <c r="C18" s="149" t="s">
        <v>154</v>
      </c>
      <c r="D18" s="165">
        <f>主要業務!H20</f>
        <v>45000</v>
      </c>
      <c r="E18" s="165">
        <f>VLOOKUP("建築及設備計畫",餘絀表!$C$16:$T$48,9,0)</f>
        <v>0</v>
      </c>
    </row>
    <row r="19" spans="1:8">
      <c r="A19" s="604"/>
      <c r="B19" s="606"/>
      <c r="C19" s="149" t="s">
        <v>155</v>
      </c>
      <c r="D19" s="165">
        <f>主要業務!H22</f>
        <v>122000</v>
      </c>
      <c r="E19" s="165">
        <f>VLOOKUP("建築及設備計畫",餘絀表!$C$16:$T$48,18,0)</f>
        <v>122000</v>
      </c>
    </row>
    <row r="20" spans="1:8">
      <c r="A20" s="604"/>
      <c r="B20" s="606"/>
      <c r="C20" s="149" t="s">
        <v>312</v>
      </c>
      <c r="D20" s="165">
        <f>VLOOKUP("用人費用",各項費用!$F$12:$Q$100,12,0)</f>
        <v>114913792</v>
      </c>
      <c r="E20" s="165">
        <f>VLOOKUP("人事支出",收支!$B$14:$N$63,13,0)</f>
        <v>114913792</v>
      </c>
      <c r="F20" s="165">
        <f>VLOOKUP("用人費用",對照表!$B$1:$E$29,4,0)</f>
        <v>114913792</v>
      </c>
    </row>
    <row r="21" spans="1:8">
      <c r="A21" s="604"/>
      <c r="B21" s="606"/>
      <c r="C21" s="149" t="s">
        <v>313</v>
      </c>
      <c r="D21" s="165">
        <f>IF(E21=0,0,資產!F10+H21)</f>
        <v>8221393</v>
      </c>
      <c r="E21" s="165">
        <f>VLOOKUP("折舊、折耗及攤銷",收支!$B$14:$N$63,13,0)</f>
        <v>9913197</v>
      </c>
      <c r="F21" s="165">
        <f>VLOOKUP("折舊、折耗及攤銷",對照表!$H$1:$J$29,3,0)</f>
        <v>9913197</v>
      </c>
      <c r="G21" s="364" t="s">
        <v>324</v>
      </c>
      <c r="H21" s="365">
        <f>464532-4645</f>
        <v>459887</v>
      </c>
    </row>
    <row r="22" spans="1:8">
      <c r="A22" s="604"/>
      <c r="B22" s="606"/>
      <c r="C22" s="149" t="s">
        <v>284</v>
      </c>
      <c r="D22" s="164">
        <v>0</v>
      </c>
      <c r="E22" s="164"/>
      <c r="F22" s="134"/>
    </row>
    <row r="23" spans="1:8">
      <c r="A23" s="604"/>
      <c r="B23" s="606"/>
      <c r="C23" s="149" t="s">
        <v>285</v>
      </c>
      <c r="D23" s="164">
        <f>D28-D22-D24-D25-D26-D27</f>
        <v>-5</v>
      </c>
      <c r="E23" s="164"/>
      <c r="F23" s="134" t="s">
        <v>286</v>
      </c>
    </row>
    <row r="24" spans="1:8">
      <c r="A24" s="604"/>
      <c r="B24" s="606"/>
      <c r="C24" s="149" t="s">
        <v>287</v>
      </c>
      <c r="D24" s="164"/>
      <c r="E24" s="164"/>
      <c r="F24" s="134" t="s">
        <v>288</v>
      </c>
    </row>
    <row r="25" spans="1:8">
      <c r="A25" s="604"/>
      <c r="B25" s="606"/>
      <c r="C25" s="149" t="s">
        <v>289</v>
      </c>
      <c r="D25" s="164">
        <v>0</v>
      </c>
      <c r="E25" s="164"/>
      <c r="F25" s="134"/>
    </row>
    <row r="26" spans="1:8" ht="15" thickBot="1">
      <c r="A26" s="605"/>
      <c r="B26" s="607"/>
      <c r="C26" s="149" t="s">
        <v>290</v>
      </c>
      <c r="D26" s="164"/>
      <c r="E26" s="164"/>
      <c r="F26" s="134"/>
      <c r="H26" s="132"/>
    </row>
    <row r="27" spans="1:8" ht="33.75" thickBot="1">
      <c r="A27" s="61" t="s">
        <v>131</v>
      </c>
      <c r="B27" s="62" t="s">
        <v>142</v>
      </c>
      <c r="C27" s="149" t="s">
        <v>291</v>
      </c>
      <c r="D27" s="164">
        <v>5</v>
      </c>
      <c r="E27" s="164"/>
      <c r="F27" s="134"/>
    </row>
    <row r="28" spans="1:8" ht="33.75" thickBot="1">
      <c r="A28" s="61" t="s">
        <v>66</v>
      </c>
      <c r="B28" s="62" t="s">
        <v>132</v>
      </c>
      <c r="C28" s="149" t="s">
        <v>292</v>
      </c>
      <c r="D28" s="164"/>
      <c r="E28" s="164"/>
      <c r="F28" s="134" t="s">
        <v>293</v>
      </c>
    </row>
    <row r="29" spans="1:8" ht="17.25" thickBot="1">
      <c r="A29" s="61" t="s">
        <v>133</v>
      </c>
      <c r="B29" s="62" t="s">
        <v>134</v>
      </c>
      <c r="D29" s="152"/>
      <c r="E29" s="152"/>
    </row>
    <row r="30" spans="1:8">
      <c r="A30" s="603" t="s">
        <v>135</v>
      </c>
      <c r="B30" s="603" t="s">
        <v>136</v>
      </c>
      <c r="D30" s="165"/>
      <c r="E30" s="165"/>
      <c r="F30" s="152"/>
    </row>
    <row r="31" spans="1:8">
      <c r="A31" s="606"/>
      <c r="B31" s="606"/>
      <c r="D31" s="165"/>
      <c r="E31" s="165"/>
      <c r="F31" s="152"/>
    </row>
    <row r="32" spans="1:8" ht="15" thickBot="1">
      <c r="A32" s="605"/>
      <c r="B32" s="605"/>
      <c r="D32" s="165"/>
      <c r="E32" s="165"/>
      <c r="F32" s="152"/>
    </row>
    <row r="33" spans="1:2" ht="15" thickBot="1">
      <c r="A33" s="166"/>
      <c r="B33" s="166"/>
    </row>
    <row r="34" spans="1:2" ht="15" thickBot="1">
      <c r="A34" s="166"/>
      <c r="B34" s="166"/>
    </row>
    <row r="35" spans="1:2" ht="15" thickBot="1">
      <c r="A35" s="166"/>
      <c r="B35" s="166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118" priority="71" stopIfTrue="1">
      <formula>$D$16&lt;&gt;$E$16</formula>
    </cfRule>
  </conditionalFormatting>
  <conditionalFormatting sqref="D32:E32">
    <cfRule type="expression" dxfId="117" priority="64" stopIfTrue="1">
      <formula>$D$32&lt;&gt;$E$32</formula>
    </cfRule>
  </conditionalFormatting>
  <conditionalFormatting sqref="D17:E17">
    <cfRule type="expression" dxfId="116" priority="62" stopIfTrue="1">
      <formula>$D17&lt;&gt;$E17</formula>
    </cfRule>
  </conditionalFormatting>
  <conditionalFormatting sqref="D18:E18 E19">
    <cfRule type="expression" dxfId="115" priority="61" stopIfTrue="1">
      <formula>$D$18&lt;&gt;$E$18</formula>
    </cfRule>
  </conditionalFormatting>
  <conditionalFormatting sqref="E28">
    <cfRule type="expression" dxfId="114" priority="55" stopIfTrue="1">
      <formula>$D$30&lt;&gt;$E$30</formula>
    </cfRule>
  </conditionalFormatting>
  <conditionalFormatting sqref="E29">
    <cfRule type="expression" dxfId="113" priority="54" stopIfTrue="1">
      <formula>$F$31&lt;&gt;0</formula>
    </cfRule>
  </conditionalFormatting>
  <conditionalFormatting sqref="E30">
    <cfRule type="expression" dxfId="112" priority="51" stopIfTrue="1">
      <formula>$D$30&lt;&gt;$E$30</formula>
    </cfRule>
  </conditionalFormatting>
  <conditionalFormatting sqref="E31">
    <cfRule type="expression" dxfId="111" priority="50" stopIfTrue="1">
      <formula>$F$31&lt;&gt;0</formula>
    </cfRule>
  </conditionalFormatting>
  <conditionalFormatting sqref="D27 D22:E23">
    <cfRule type="expression" dxfId="110" priority="48" stopIfTrue="1">
      <formula>$D23&lt;&gt;$E23</formula>
    </cfRule>
  </conditionalFormatting>
  <conditionalFormatting sqref="E28">
    <cfRule type="expression" dxfId="109" priority="47" stopIfTrue="1">
      <formula>$D$30&lt;&gt;$E$30</formula>
    </cfRule>
  </conditionalFormatting>
  <conditionalFormatting sqref="E28">
    <cfRule type="expression" dxfId="108" priority="46" stopIfTrue="1">
      <formula>$D28&lt;&gt;$E28</formula>
    </cfRule>
  </conditionalFormatting>
  <conditionalFormatting sqref="D28">
    <cfRule type="expression" dxfId="107" priority="45" stopIfTrue="1">
      <formula>$D28&lt;&gt;$E28</formula>
    </cfRule>
  </conditionalFormatting>
  <conditionalFormatting sqref="D24:D26">
    <cfRule type="expression" dxfId="106" priority="44" stopIfTrue="1">
      <formula>$D24&lt;&gt;$E24</formula>
    </cfRule>
  </conditionalFormatting>
  <conditionalFormatting sqref="D27">
    <cfRule type="expression" dxfId="105" priority="43" stopIfTrue="1">
      <formula>$D27&lt;&gt;$E27</formula>
    </cfRule>
  </conditionalFormatting>
  <conditionalFormatting sqref="D14 F14:F15">
    <cfRule type="expression" dxfId="104" priority="42">
      <formula>$D$14&lt;&gt;$F$14</formula>
    </cfRule>
  </conditionalFormatting>
  <conditionalFormatting sqref="F15">
    <cfRule type="expression" dxfId="103" priority="34">
      <formula>$E$15&lt;&gt;$F$15</formula>
    </cfRule>
    <cfRule type="expression" dxfId="102" priority="35">
      <formula>$D$15&lt;&gt;$F$15</formula>
    </cfRule>
    <cfRule type="expression" dxfId="101" priority="40">
      <formula>$D$14&lt;&gt;$F$14</formula>
    </cfRule>
  </conditionalFormatting>
  <conditionalFormatting sqref="D15">
    <cfRule type="expression" dxfId="100" priority="38">
      <formula>$D$15&lt;&gt;$F$15</formula>
    </cfRule>
    <cfRule type="expression" dxfId="99" priority="39">
      <formula>$D$15&lt;&gt;$E$15</formula>
    </cfRule>
  </conditionalFormatting>
  <conditionalFormatting sqref="E15">
    <cfRule type="expression" dxfId="98" priority="36">
      <formula>$E$15&lt;&gt;$F$15</formula>
    </cfRule>
    <cfRule type="expression" dxfId="97" priority="37">
      <formula>$D$15&lt;&gt;$E$15</formula>
    </cfRule>
  </conditionalFormatting>
  <conditionalFormatting sqref="D7:E7">
    <cfRule type="expression" dxfId="96" priority="33">
      <formula>$D$7&lt;&gt;$E$7</formula>
    </cfRule>
  </conditionalFormatting>
  <conditionalFormatting sqref="D8:E8">
    <cfRule type="expression" dxfId="95" priority="32">
      <formula>$D$8&lt;&gt;$E$8</formula>
    </cfRule>
  </conditionalFormatting>
  <conditionalFormatting sqref="E16:E17">
    <cfRule type="expression" dxfId="94" priority="74" stopIfTrue="1">
      <formula>#REF!&lt;&gt;#REF!</formula>
    </cfRule>
  </conditionalFormatting>
  <conditionalFormatting sqref="E18:E19">
    <cfRule type="expression" dxfId="93" priority="95" stopIfTrue="1">
      <formula>#REF!&lt;&gt;#REF!</formula>
    </cfRule>
  </conditionalFormatting>
  <conditionalFormatting sqref="E6:E7">
    <cfRule type="expression" dxfId="92" priority="97" stopIfTrue="1">
      <formula>$D13&lt;&gt;$F13</formula>
    </cfRule>
  </conditionalFormatting>
  <conditionalFormatting sqref="D20:F20">
    <cfRule type="expression" dxfId="91" priority="16">
      <formula>$D$20&lt;&gt;$E$20</formula>
    </cfRule>
  </conditionalFormatting>
  <conditionalFormatting sqref="D20:F20">
    <cfRule type="expression" dxfId="90" priority="15">
      <formula>$E$20&lt;&gt;$F$20</formula>
    </cfRule>
  </conditionalFormatting>
  <conditionalFormatting sqref="D21:F21">
    <cfRule type="expression" dxfId="89" priority="10">
      <formula>$D$21&lt;&gt;$E$21</formula>
    </cfRule>
  </conditionalFormatting>
  <conditionalFormatting sqref="D21:F21">
    <cfRule type="expression" dxfId="88" priority="9">
      <formula>$D$21&lt;&gt;$F$21</formula>
    </cfRule>
  </conditionalFormatting>
  <conditionalFormatting sqref="D9:F9">
    <cfRule type="expression" dxfId="87" priority="6">
      <formula>$D$9&lt;&gt;$F$9</formula>
    </cfRule>
    <cfRule type="expression" dxfId="86" priority="7">
      <formula>$D$9&lt;&gt;$E$9</formula>
    </cfRule>
  </conditionalFormatting>
  <conditionalFormatting sqref="D10:G10">
    <cfRule type="expression" dxfId="85" priority="3">
      <formula>$D$10&lt;&gt;$E$10</formula>
    </cfRule>
  </conditionalFormatting>
  <conditionalFormatting sqref="F12:G12">
    <cfRule type="expression" dxfId="84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200" bestFit="1" customWidth="1"/>
    <col min="14" max="14" width="9.7109375" style="200" bestFit="1" customWidth="1"/>
    <col min="15" max="15" width="13.28515625" style="201" bestFit="1" customWidth="1"/>
    <col min="16" max="16" width="12.5703125" style="212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705" t="str">
        <f>封面!$A$4</f>
        <v>彰化縣地方教育發展基金－彰化縣彰化市民生國民小學</v>
      </c>
      <c r="B1" s="705"/>
      <c r="C1" s="705"/>
      <c r="D1" s="705"/>
      <c r="E1" s="705"/>
      <c r="F1" s="705"/>
      <c r="G1" s="705"/>
      <c r="H1" s="705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21" t="s">
        <v>38</v>
      </c>
      <c r="B4" s="721"/>
      <c r="C4" s="721"/>
      <c r="D4" s="721"/>
      <c r="E4" s="721"/>
      <c r="F4" s="721"/>
      <c r="G4" s="721"/>
      <c r="H4" s="721"/>
    </row>
    <row r="5" spans="1:16" ht="6.75" customHeight="1"/>
    <row r="6" spans="1:16" ht="16.5">
      <c r="A6" s="706" t="str">
        <f>封面!$E$10&amp;封面!$H$10&amp;封面!$I$10&amp;封面!$J$10&amp;封面!$K$10&amp;封面!L10</f>
        <v>中華民國113年9月份</v>
      </c>
      <c r="B6" s="706"/>
      <c r="C6" s="706"/>
      <c r="D6" s="706"/>
      <c r="E6" s="706"/>
      <c r="F6" s="706"/>
      <c r="G6" s="706"/>
      <c r="H6" s="706"/>
    </row>
    <row r="7" spans="1:16" ht="14.25" customHeight="1">
      <c r="A7" s="666" t="s">
        <v>39</v>
      </c>
      <c r="B7" s="666"/>
      <c r="C7" s="666"/>
      <c r="D7" s="666"/>
      <c r="E7" s="666"/>
      <c r="F7" s="666"/>
      <c r="G7" s="666"/>
      <c r="H7" s="666"/>
      <c r="K7" s="126">
        <f t="shared" ref="K7:P7" si="0">K15-K34</f>
        <v>-761342</v>
      </c>
      <c r="L7" s="126">
        <f t="shared" si="0"/>
        <v>-1015711</v>
      </c>
      <c r="M7" s="126">
        <f t="shared" si="0"/>
        <v>159415</v>
      </c>
      <c r="N7" s="126">
        <f t="shared" si="0"/>
        <v>0</v>
      </c>
      <c r="O7" s="126">
        <f t="shared" si="0"/>
        <v>35854059</v>
      </c>
      <c r="P7" s="126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37" t="s">
        <v>40</v>
      </c>
      <c r="I9" s="125"/>
    </row>
    <row r="10" spans="1:16" ht="14.25" customHeight="1">
      <c r="A10" s="835" t="s">
        <v>41</v>
      </c>
      <c r="B10" s="831"/>
      <c r="C10" s="829" t="s">
        <v>51</v>
      </c>
      <c r="D10" s="831" t="s">
        <v>52</v>
      </c>
      <c r="E10" s="829" t="s">
        <v>53</v>
      </c>
      <c r="F10" s="829" t="s">
        <v>54</v>
      </c>
      <c r="G10" s="835" t="s">
        <v>42</v>
      </c>
      <c r="H10" s="838"/>
      <c r="I10" s="125"/>
      <c r="K10" s="173" t="s">
        <v>188</v>
      </c>
      <c r="L10" s="173" t="s">
        <v>189</v>
      </c>
      <c r="M10" s="827" t="s">
        <v>204</v>
      </c>
      <c r="N10" s="833" t="s">
        <v>216</v>
      </c>
      <c r="O10" s="828" t="s">
        <v>214</v>
      </c>
    </row>
    <row r="11" spans="1:16" ht="14.25">
      <c r="A11" s="836"/>
      <c r="B11" s="832"/>
      <c r="C11" s="830"/>
      <c r="D11" s="832"/>
      <c r="E11" s="830"/>
      <c r="F11" s="830"/>
      <c r="G11" s="836"/>
      <c r="H11" s="839"/>
      <c r="I11" s="125"/>
      <c r="M11" s="615"/>
      <c r="N11" s="834"/>
      <c r="O11" s="615"/>
      <c r="P11" s="213" t="s">
        <v>215</v>
      </c>
    </row>
    <row r="12" spans="1:16" ht="12.75" hidden="1" customHeight="1">
      <c r="H12" s="100"/>
      <c r="I12" s="125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3"/>
      <c r="D15" s="193"/>
      <c r="E15" s="193"/>
      <c r="F15" s="193"/>
      <c r="G15" s="234"/>
      <c r="H15" s="193"/>
      <c r="I15" s="13"/>
      <c r="J15" s="126">
        <f>D15-E15-H15</f>
        <v>0</v>
      </c>
      <c r="K15" s="215">
        <f>D15-[5]固定項目!D15</f>
        <v>-761342</v>
      </c>
      <c r="L15" s="215">
        <f>E15-[5]固定項目!E15</f>
        <v>-1015711</v>
      </c>
      <c r="M15" s="215">
        <f>SUM(M18:M36)</f>
        <v>159415</v>
      </c>
      <c r="N15" s="215">
        <f>SUM(N18:N36)</f>
        <v>0</v>
      </c>
      <c r="O15" s="215">
        <f>SUM(O18:O36)</f>
        <v>35854059</v>
      </c>
      <c r="P15" s="218">
        <f>SUM(P18:P36)</f>
        <v>-35854059</v>
      </c>
    </row>
    <row r="16" spans="1:16" ht="21" hidden="1" customHeight="1">
      <c r="A16" s="17"/>
      <c r="B16" s="17"/>
      <c r="C16" s="194"/>
      <c r="D16" s="194"/>
      <c r="E16" s="194"/>
      <c r="F16" s="194"/>
      <c r="G16" s="234"/>
      <c r="H16" s="194"/>
      <c r="I16" s="13"/>
      <c r="J16" s="126">
        <f t="shared" ref="J16:J36" si="1">D16-E16-H16</f>
        <v>0</v>
      </c>
      <c r="K16" s="216">
        <f>D16-[5]固定項目!D16</f>
        <v>0</v>
      </c>
      <c r="L16" s="216">
        <f>E16-[5]固定項目!E16</f>
        <v>0</v>
      </c>
      <c r="P16" s="218"/>
    </row>
    <row r="17" spans="1:18" ht="21" hidden="1" customHeight="1">
      <c r="A17" s="17"/>
      <c r="B17" s="17"/>
      <c r="C17" s="194"/>
      <c r="D17" s="194"/>
      <c r="E17" s="194"/>
      <c r="F17" s="194"/>
      <c r="G17" s="234"/>
      <c r="H17" s="194"/>
      <c r="I17" s="13"/>
      <c r="J17" s="126">
        <f t="shared" si="1"/>
        <v>0</v>
      </c>
      <c r="K17" s="216">
        <f>D17-[5]固定項目!D17</f>
        <v>0</v>
      </c>
      <c r="L17" s="216">
        <f>E17-[5]固定項目!E17</f>
        <v>0</v>
      </c>
      <c r="P17" s="218"/>
    </row>
    <row r="18" spans="1:18" ht="26.25" customHeight="1">
      <c r="A18" s="18"/>
      <c r="B18" s="80" t="s">
        <v>168</v>
      </c>
      <c r="C18" s="194"/>
      <c r="D18" s="194"/>
      <c r="E18" s="194"/>
      <c r="F18" s="194"/>
      <c r="G18" s="234"/>
      <c r="H18" s="194"/>
      <c r="I18" s="13"/>
      <c r="J18" s="126">
        <f t="shared" si="1"/>
        <v>0</v>
      </c>
      <c r="K18" s="216">
        <f>D18-[6]固定項目!D18</f>
        <v>0</v>
      </c>
      <c r="L18" s="216">
        <f>E18-[6]固定項目!E18</f>
        <v>0</v>
      </c>
      <c r="O18" s="217">
        <f>M18-N18+[6]固定項目!O18</f>
        <v>0</v>
      </c>
      <c r="P18" s="218"/>
    </row>
    <row r="19" spans="1:18" ht="21" hidden="1" customHeight="1">
      <c r="A19" s="17"/>
      <c r="B19" s="17"/>
      <c r="C19" s="194"/>
      <c r="D19" s="194"/>
      <c r="E19" s="194"/>
      <c r="F19" s="194"/>
      <c r="G19" s="234"/>
      <c r="H19" s="194"/>
      <c r="I19" s="13"/>
      <c r="J19" s="126">
        <f t="shared" si="1"/>
        <v>0</v>
      </c>
      <c r="K19" s="216">
        <f>D19-[6]固定項目!D20</f>
        <v>0</v>
      </c>
      <c r="L19" s="216">
        <f>E19-[6]固定項目!E20</f>
        <v>0</v>
      </c>
      <c r="O19" s="217">
        <f>M19-N19+[6]固定項目!O20</f>
        <v>0</v>
      </c>
      <c r="P19" s="218"/>
    </row>
    <row r="20" spans="1:18" ht="21" customHeight="1">
      <c r="A20" s="19"/>
      <c r="B20" s="81" t="s">
        <v>44</v>
      </c>
      <c r="C20" s="193"/>
      <c r="D20" s="193"/>
      <c r="E20" s="193"/>
      <c r="F20" s="193"/>
      <c r="G20" s="234"/>
      <c r="H20" s="193"/>
      <c r="I20" s="13"/>
      <c r="J20" s="126">
        <f t="shared" si="1"/>
        <v>0</v>
      </c>
      <c r="K20" s="216">
        <f>D20-[6]固定項目!D21</f>
        <v>0</v>
      </c>
      <c r="L20" s="216">
        <f>E20-[6]固定項目!E21</f>
        <v>0</v>
      </c>
      <c r="O20" s="217">
        <f>M20-N20+[6]固定項目!O21</f>
        <v>0</v>
      </c>
      <c r="P20" s="218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4"/>
      <c r="D21" s="194"/>
      <c r="E21" s="194"/>
      <c r="F21" s="194"/>
      <c r="G21" s="234"/>
      <c r="H21" s="194"/>
      <c r="I21" s="13"/>
      <c r="J21" s="126">
        <f t="shared" si="1"/>
        <v>0</v>
      </c>
      <c r="K21" s="216">
        <f>D21-[6]固定項目!D23</f>
        <v>0</v>
      </c>
      <c r="L21" s="216">
        <f>E21-[6]固定項目!E23</f>
        <v>0</v>
      </c>
      <c r="O21" s="217">
        <f>M21-N21+[6]固定項目!O23</f>
        <v>0</v>
      </c>
      <c r="P21" s="218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3"/>
      <c r="D22" s="194"/>
      <c r="E22" s="194"/>
      <c r="F22" s="193"/>
      <c r="G22" s="234"/>
      <c r="H22" s="194"/>
      <c r="I22" s="13"/>
      <c r="J22" s="126">
        <f t="shared" si="1"/>
        <v>0</v>
      </c>
      <c r="K22" s="216">
        <f>D22-[6]固定項目!D24</f>
        <v>-65606</v>
      </c>
      <c r="L22" s="216">
        <f>E22-[6]固定項目!E24</f>
        <v>0</v>
      </c>
      <c r="M22" s="200">
        <v>32803</v>
      </c>
      <c r="O22" s="217">
        <f>M22-N22+[6]固定項目!O24</f>
        <v>2027157</v>
      </c>
      <c r="P22" s="218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4"/>
      <c r="D23" s="194"/>
      <c r="E23" s="194"/>
      <c r="F23" s="194"/>
      <c r="G23" s="234"/>
      <c r="H23" s="194"/>
      <c r="I23" s="13"/>
      <c r="J23" s="126">
        <f t="shared" si="1"/>
        <v>0</v>
      </c>
      <c r="K23" s="216">
        <f>D23-[6]固定項目!D26</f>
        <v>0</v>
      </c>
      <c r="L23" s="216">
        <f>E23-[6]固定項目!E26</f>
        <v>0</v>
      </c>
      <c r="O23" s="217">
        <f>M23-N23+[6]固定項目!O26</f>
        <v>0</v>
      </c>
      <c r="P23" s="218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3"/>
      <c r="D24" s="194"/>
      <c r="E24" s="193"/>
      <c r="F24" s="193"/>
      <c r="G24" s="234"/>
      <c r="H24" s="193"/>
      <c r="I24" s="13"/>
      <c r="J24" s="126">
        <f t="shared" si="1"/>
        <v>0</v>
      </c>
      <c r="K24" s="216">
        <f>D24-[6]固定項目!D27</f>
        <v>0</v>
      </c>
      <c r="L24" s="216">
        <f>E24-[6]固定項目!E27</f>
        <v>-462500</v>
      </c>
      <c r="M24" s="200">
        <v>83429</v>
      </c>
      <c r="O24" s="217">
        <f>M24-N24+[6]固定項目!O27</f>
        <v>24356499</v>
      </c>
      <c r="P24" s="218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4"/>
      <c r="D25" s="194"/>
      <c r="E25" s="194"/>
      <c r="F25" s="194"/>
      <c r="G25" s="234"/>
      <c r="H25" s="194"/>
      <c r="I25" s="13"/>
      <c r="J25" s="126">
        <f t="shared" si="1"/>
        <v>0</v>
      </c>
      <c r="K25" s="216">
        <f>D25-[6]固定項目!D29</f>
        <v>0</v>
      </c>
      <c r="L25" s="216">
        <f>E25-[6]固定項目!E29</f>
        <v>0</v>
      </c>
      <c r="O25" s="217">
        <f>M25-N25+[6]固定項目!O29</f>
        <v>0</v>
      </c>
      <c r="P25" s="218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3"/>
      <c r="D26" s="193"/>
      <c r="E26" s="193"/>
      <c r="F26" s="193"/>
      <c r="G26" s="234"/>
      <c r="H26" s="193"/>
      <c r="I26" s="13"/>
      <c r="J26" s="126">
        <f t="shared" si="1"/>
        <v>0</v>
      </c>
      <c r="K26" s="216">
        <f>D26-[6]固定項目!D30</f>
        <v>-112736</v>
      </c>
      <c r="L26" s="216">
        <f>E26-[6]固定項目!E30</f>
        <v>-343611</v>
      </c>
      <c r="M26" s="200">
        <v>24242</v>
      </c>
      <c r="O26" s="217">
        <f>M26-N26+[6]固定項目!O30</f>
        <v>4960805</v>
      </c>
      <c r="P26" s="218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4"/>
      <c r="D27" s="194"/>
      <c r="E27" s="194"/>
      <c r="F27" s="194"/>
      <c r="G27" s="234"/>
      <c r="H27" s="194"/>
      <c r="I27" s="13"/>
      <c r="J27" s="126">
        <f t="shared" si="1"/>
        <v>0</v>
      </c>
      <c r="K27" s="216">
        <f>D27-[6]固定項目!D32</f>
        <v>0</v>
      </c>
      <c r="L27" s="216">
        <f>E27-[6]固定項目!E32</f>
        <v>0</v>
      </c>
      <c r="O27" s="217">
        <f>M27-N27+[6]固定項目!O32</f>
        <v>0</v>
      </c>
      <c r="P27" s="218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3"/>
      <c r="D28" s="194"/>
      <c r="E28" s="193"/>
      <c r="F28" s="193"/>
      <c r="G28" s="234"/>
      <c r="H28" s="193"/>
      <c r="I28" s="13"/>
      <c r="J28" s="126">
        <f t="shared" si="1"/>
        <v>0</v>
      </c>
      <c r="K28" s="216">
        <f>D28-[6]固定項目!D33</f>
        <v>0</v>
      </c>
      <c r="L28" s="216">
        <f>E28-[6]固定項目!E33</f>
        <v>-98000</v>
      </c>
      <c r="M28" s="200">
        <v>5018</v>
      </c>
      <c r="O28" s="217">
        <f>M28-N28+[6]固定項目!O33</f>
        <v>707188</v>
      </c>
      <c r="P28" s="218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4"/>
      <c r="D29" s="194"/>
      <c r="E29" s="194"/>
      <c r="F29" s="194"/>
      <c r="G29" s="234"/>
      <c r="H29" s="194"/>
      <c r="I29" s="13"/>
      <c r="J29" s="126">
        <f t="shared" si="1"/>
        <v>0</v>
      </c>
      <c r="K29" s="216">
        <f>D29-[6]固定項目!D35</f>
        <v>0</v>
      </c>
      <c r="L29" s="216">
        <f>E29-[6]固定項目!E35</f>
        <v>0</v>
      </c>
      <c r="O29" s="217">
        <f>M29-N29+[6]固定項目!O35</f>
        <v>0</v>
      </c>
      <c r="P29" s="218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198</v>
      </c>
      <c r="C30" s="193"/>
      <c r="D30" s="193"/>
      <c r="E30" s="193"/>
      <c r="F30" s="193"/>
      <c r="G30" s="234"/>
      <c r="H30" s="193"/>
      <c r="I30" s="13"/>
      <c r="J30" s="126">
        <f t="shared" si="1"/>
        <v>0</v>
      </c>
      <c r="K30" s="216">
        <f>D30-[6]固定項目!D36</f>
        <v>-596000</v>
      </c>
      <c r="L30" s="216">
        <f>E30-[6]固定項目!E36</f>
        <v>-111600</v>
      </c>
      <c r="M30" s="200">
        <v>13923</v>
      </c>
      <c r="O30" s="217">
        <f>M30-N30+[6]固定項目!O36</f>
        <v>3802410</v>
      </c>
      <c r="P30" s="218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4"/>
      <c r="D31" s="194"/>
      <c r="E31" s="194"/>
      <c r="F31" s="194"/>
      <c r="G31" s="234"/>
      <c r="H31" s="194"/>
      <c r="I31" s="13"/>
      <c r="J31" s="126">
        <f t="shared" si="1"/>
        <v>0</v>
      </c>
      <c r="K31" s="216">
        <f>D31-[6]固定項目!D38</f>
        <v>0</v>
      </c>
      <c r="L31" s="216">
        <f>E31-[6]固定項目!E38</f>
        <v>0</v>
      </c>
      <c r="O31" s="217">
        <f>M31-N31+[6]固定項目!O38</f>
        <v>0</v>
      </c>
      <c r="P31" s="212">
        <f t="shared" si="2"/>
        <v>0</v>
      </c>
    </row>
    <row r="32" spans="1:18" ht="21" customHeight="1">
      <c r="A32" s="19"/>
      <c r="B32" s="81" t="s">
        <v>49</v>
      </c>
      <c r="C32" s="194"/>
      <c r="D32" s="194"/>
      <c r="E32" s="194"/>
      <c r="F32" s="194"/>
      <c r="G32" s="234"/>
      <c r="H32" s="194"/>
      <c r="I32" s="13"/>
      <c r="J32" s="126">
        <f t="shared" si="1"/>
        <v>0</v>
      </c>
      <c r="K32" s="216">
        <f>D32-[6]固定項目!D39</f>
        <v>0</v>
      </c>
      <c r="L32" s="216">
        <f>E32-[6]固定項目!E39</f>
        <v>0</v>
      </c>
      <c r="O32" s="217">
        <f>M32-N32+[6]固定項目!O39</f>
        <v>0</v>
      </c>
      <c r="P32" s="212">
        <f t="shared" si="2"/>
        <v>0</v>
      </c>
    </row>
    <row r="33" spans="1:16" ht="21" hidden="1" customHeight="1">
      <c r="A33" s="17"/>
      <c r="B33" s="17"/>
      <c r="C33" s="194"/>
      <c r="D33" s="194"/>
      <c r="E33" s="194"/>
      <c r="F33" s="194"/>
      <c r="G33" s="234"/>
      <c r="H33" s="194"/>
      <c r="I33" s="13"/>
      <c r="J33" s="126">
        <f t="shared" si="1"/>
        <v>0</v>
      </c>
      <c r="K33" s="216">
        <f>D33-[6]固定項目!D41</f>
        <v>0</v>
      </c>
      <c r="L33" s="216">
        <f>E33-[6]固定項目!E41</f>
        <v>0</v>
      </c>
      <c r="O33" s="217">
        <f>M33-N33+[6]固定項目!O41</f>
        <v>0</v>
      </c>
      <c r="P33" s="212">
        <f t="shared" si="2"/>
        <v>0</v>
      </c>
    </row>
    <row r="34" spans="1:16" ht="21" customHeight="1">
      <c r="A34" s="19"/>
      <c r="B34" s="81" t="s">
        <v>199</v>
      </c>
      <c r="C34" s="193"/>
      <c r="D34" s="194"/>
      <c r="E34" s="194"/>
      <c r="F34" s="193"/>
      <c r="G34" s="234"/>
      <c r="H34" s="194"/>
      <c r="I34" s="13"/>
      <c r="J34" s="126">
        <f t="shared" si="1"/>
        <v>0</v>
      </c>
      <c r="K34" s="216">
        <f>D34-[6]固定項目!D42</f>
        <v>0</v>
      </c>
      <c r="L34" s="216">
        <f>E34-[6]固定項目!E42</f>
        <v>0</v>
      </c>
      <c r="M34" s="214"/>
      <c r="N34" s="214">
        <f>E34</f>
        <v>0</v>
      </c>
      <c r="O34" s="217">
        <f>M34-N34+[6]固定項目!O42</f>
        <v>0</v>
      </c>
      <c r="P34" s="212">
        <f t="shared" si="2"/>
        <v>0</v>
      </c>
    </row>
    <row r="35" spans="1:16" ht="21" hidden="1" customHeight="1">
      <c r="A35" s="17"/>
      <c r="B35" s="17"/>
      <c r="C35" s="194"/>
      <c r="D35" s="194"/>
      <c r="E35" s="194"/>
      <c r="F35" s="194"/>
      <c r="G35" s="234"/>
      <c r="H35" s="194"/>
      <c r="I35" s="13"/>
      <c r="J35" s="126">
        <f t="shared" si="1"/>
        <v>0</v>
      </c>
      <c r="K35" s="216">
        <f>D35-[6]固定項目!D44</f>
        <v>0</v>
      </c>
      <c r="L35" s="216">
        <f>E35-[6]固定項目!E44</f>
        <v>0</v>
      </c>
      <c r="O35" s="217">
        <f>M35-N35+[6]固定項目!O44</f>
        <v>0</v>
      </c>
      <c r="P35" s="212">
        <f t="shared" si="2"/>
        <v>0</v>
      </c>
    </row>
    <row r="36" spans="1:16" ht="21" customHeight="1">
      <c r="A36" s="19"/>
      <c r="B36" s="81" t="s">
        <v>50</v>
      </c>
      <c r="C36" s="194"/>
      <c r="D36" s="194"/>
      <c r="E36" s="194"/>
      <c r="F36" s="194"/>
      <c r="G36" s="235"/>
      <c r="H36" s="194"/>
      <c r="I36" s="13"/>
      <c r="J36" s="126">
        <f t="shared" si="1"/>
        <v>0</v>
      </c>
      <c r="K36" s="216">
        <f>D36-[6]固定項目!D45</f>
        <v>0</v>
      </c>
      <c r="L36" s="216">
        <f>E36-[6]固定項目!E45</f>
        <v>0</v>
      </c>
      <c r="O36" s="217">
        <f>M36-N36+[6]固定項目!O45</f>
        <v>0</v>
      </c>
      <c r="P36" s="212">
        <f t="shared" si="2"/>
        <v>0</v>
      </c>
    </row>
    <row r="37" spans="1:16" ht="21" hidden="1" customHeight="1">
      <c r="A37" s="196"/>
      <c r="B37" s="197"/>
      <c r="C37" s="13"/>
      <c r="D37" s="13"/>
      <c r="E37" s="13"/>
      <c r="F37" s="13"/>
      <c r="G37" s="236"/>
      <c r="H37" s="13"/>
      <c r="O37" s="217">
        <f>M37-N37+[6]固定項目!O47</f>
        <v>0</v>
      </c>
      <c r="P37" s="212">
        <f t="shared" si="2"/>
        <v>0</v>
      </c>
    </row>
    <row r="38" spans="1:16" ht="21" customHeight="1">
      <c r="A38" s="196"/>
      <c r="B38" s="198" t="s">
        <v>200</v>
      </c>
      <c r="C38" s="13"/>
      <c r="D38" s="13"/>
      <c r="E38" s="13"/>
      <c r="F38" s="13"/>
      <c r="G38" s="236"/>
      <c r="H38" s="13"/>
      <c r="O38" s="217">
        <f>M38-N38+[6]固定項目!O48</f>
        <v>0</v>
      </c>
      <c r="P38" s="212">
        <f t="shared" si="2"/>
        <v>0</v>
      </c>
    </row>
    <row r="39" spans="1:16" ht="21" hidden="1" customHeight="1">
      <c r="A39" s="196"/>
      <c r="B39" s="197"/>
      <c r="C39" s="13"/>
      <c r="D39" s="13"/>
      <c r="E39" s="13"/>
      <c r="F39" s="13"/>
      <c r="G39" s="236"/>
      <c r="H39" s="13"/>
      <c r="O39" s="217">
        <f>M39-N39+[6]固定項目!O50</f>
        <v>0</v>
      </c>
      <c r="P39" s="212">
        <f t="shared" si="2"/>
        <v>0</v>
      </c>
    </row>
    <row r="40" spans="1:16" ht="21" customHeight="1">
      <c r="A40" s="196"/>
      <c r="B40" s="198" t="s">
        <v>201</v>
      </c>
      <c r="C40" s="13"/>
      <c r="D40" s="13"/>
      <c r="E40" s="13"/>
      <c r="F40" s="13"/>
      <c r="G40" s="236"/>
      <c r="H40" s="13"/>
      <c r="O40" s="217">
        <f>M40-N40+[6]固定項目!O51</f>
        <v>0</v>
      </c>
      <c r="P40" s="212">
        <f t="shared" si="2"/>
        <v>0</v>
      </c>
    </row>
    <row r="41" spans="1:16" ht="21" hidden="1" customHeight="1">
      <c r="A41" s="196"/>
      <c r="B41" s="197"/>
      <c r="C41" s="13"/>
      <c r="D41" s="13"/>
      <c r="E41" s="13"/>
      <c r="F41" s="13"/>
      <c r="G41" s="236"/>
      <c r="H41" s="13"/>
      <c r="O41" s="217">
        <f>M41-N41+[6]固定項目!O53</f>
        <v>0</v>
      </c>
      <c r="P41" s="212">
        <f t="shared" si="2"/>
        <v>0</v>
      </c>
    </row>
    <row r="42" spans="1:16" ht="21" customHeight="1">
      <c r="A42" s="196"/>
      <c r="B42" s="199" t="s">
        <v>202</v>
      </c>
      <c r="C42" s="13"/>
      <c r="D42" s="13"/>
      <c r="E42" s="13"/>
      <c r="F42" s="13"/>
      <c r="G42" s="236"/>
      <c r="H42" s="13"/>
      <c r="O42" s="217">
        <f>M42-N42+[6]固定項目!O54</f>
        <v>0</v>
      </c>
      <c r="P42" s="212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43" t="s">
        <v>82</v>
      </c>
      <c r="B1" s="844"/>
      <c r="C1" s="844"/>
      <c r="D1" s="844"/>
      <c r="E1" s="844"/>
      <c r="F1" s="844"/>
      <c r="G1" s="844"/>
      <c r="H1" s="844"/>
      <c r="I1" s="844"/>
      <c r="J1" s="844"/>
      <c r="K1" s="844"/>
      <c r="L1" s="844"/>
      <c r="M1" s="844"/>
      <c r="N1" s="844"/>
      <c r="O1" s="844"/>
      <c r="P1" s="844"/>
      <c r="Q1" s="844"/>
      <c r="R1" s="845"/>
    </row>
    <row r="2" spans="1:19">
      <c r="A2" s="846" t="str">
        <f>"茲列出 貴機關"&amp;封面!H10&amp;封面!J10&amp;"01至"&amp;封面!H10&amp;封面!J10&amp;封面!O10&amp;"歲出分配餘額暨支付明細，送請詳加核對"</f>
        <v>茲列出 貴機關113901至113930歲出分配餘額暨支付明細，送請詳加核對</v>
      </c>
      <c r="B2" s="847"/>
      <c r="C2" s="847"/>
      <c r="D2" s="847"/>
      <c r="E2" s="847"/>
      <c r="F2" s="847"/>
      <c r="G2" s="847"/>
      <c r="H2" s="847"/>
      <c r="I2" s="847"/>
      <c r="J2" s="847"/>
      <c r="K2" s="847"/>
      <c r="L2" s="847"/>
      <c r="M2" s="847"/>
      <c r="N2" s="847"/>
      <c r="O2" s="847"/>
      <c r="P2" s="847"/>
      <c r="Q2" s="847"/>
      <c r="R2" s="848"/>
    </row>
    <row r="3" spans="1:19">
      <c r="A3" s="849" t="s">
        <v>83</v>
      </c>
      <c r="B3" s="850"/>
      <c r="C3" s="850"/>
      <c r="D3" s="850"/>
      <c r="E3" s="850"/>
      <c r="F3" s="850"/>
      <c r="G3" s="850"/>
      <c r="H3" s="850"/>
      <c r="I3" s="850"/>
      <c r="J3" s="850"/>
      <c r="K3" s="850"/>
      <c r="L3" s="850"/>
      <c r="M3" s="850"/>
      <c r="N3" s="850"/>
      <c r="O3" s="850"/>
      <c r="P3" s="850"/>
      <c r="Q3" s="850"/>
      <c r="R3" s="851"/>
    </row>
    <row r="5" spans="1:19">
      <c r="A5" s="30"/>
      <c r="B5" s="31"/>
      <c r="C5" s="852" t="s">
        <v>84</v>
      </c>
      <c r="D5" s="852"/>
      <c r="E5" s="852"/>
      <c r="F5" s="852"/>
      <c r="G5" s="852"/>
      <c r="H5" s="852" t="s">
        <v>85</v>
      </c>
      <c r="I5" s="852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40"/>
      <c r="D6" s="841"/>
      <c r="E6" s="841"/>
      <c r="F6" s="842" t="s">
        <v>87</v>
      </c>
      <c r="G6" s="842"/>
      <c r="H6" s="842"/>
      <c r="I6" s="842"/>
      <c r="J6" s="842"/>
      <c r="K6" s="842"/>
      <c r="R6" s="35"/>
    </row>
    <row r="7" spans="1:19">
      <c r="A7" s="34"/>
      <c r="B7" s="842" t="s">
        <v>88</v>
      </c>
      <c r="C7" s="842"/>
      <c r="D7" s="842"/>
      <c r="E7" s="842"/>
      <c r="F7" s="842"/>
      <c r="G7" s="842"/>
      <c r="H7" s="842"/>
      <c r="I7" s="842"/>
      <c r="R7" s="35"/>
    </row>
    <row r="8" spans="1:19">
      <c r="A8" s="34"/>
      <c r="B8" s="842" t="s">
        <v>89</v>
      </c>
      <c r="C8" s="842"/>
      <c r="D8" s="842"/>
      <c r="E8" s="842"/>
      <c r="F8" s="842"/>
      <c r="G8" s="842"/>
      <c r="H8" s="842"/>
      <c r="I8" s="842"/>
      <c r="R8" s="35"/>
    </row>
    <row r="9" spans="1:19">
      <c r="A9" s="36" t="s">
        <v>90</v>
      </c>
      <c r="B9" s="860" t="s">
        <v>91</v>
      </c>
      <c r="C9" s="860"/>
      <c r="D9" s="860"/>
      <c r="E9" s="860"/>
      <c r="F9" s="860"/>
      <c r="G9" s="860"/>
      <c r="H9" s="860"/>
      <c r="I9" s="860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61" t="s">
        <v>92</v>
      </c>
      <c r="B10" s="852"/>
      <c r="C10" s="852"/>
      <c r="D10" s="862"/>
      <c r="E10" s="861" t="s">
        <v>93</v>
      </c>
      <c r="F10" s="862"/>
      <c r="G10" s="861" t="s">
        <v>94</v>
      </c>
      <c r="H10" s="862"/>
      <c r="I10" s="861" t="s">
        <v>95</v>
      </c>
      <c r="J10" s="862"/>
      <c r="K10" s="861" t="s">
        <v>71</v>
      </c>
      <c r="L10" s="862"/>
      <c r="M10" s="861" t="s">
        <v>96</v>
      </c>
      <c r="N10" s="852"/>
      <c r="O10" s="852"/>
      <c r="P10" s="852"/>
      <c r="Q10" s="852"/>
      <c r="R10" s="862"/>
    </row>
    <row r="11" spans="1:19" ht="52.5" customHeight="1">
      <c r="A11" s="853" t="s">
        <v>97</v>
      </c>
      <c r="B11" s="854"/>
      <c r="C11" s="854"/>
      <c r="D11" s="855"/>
      <c r="E11" s="856" t="s">
        <v>98</v>
      </c>
      <c r="F11" s="857"/>
      <c r="G11" s="858">
        <v>1053704</v>
      </c>
      <c r="H11" s="859"/>
      <c r="I11" s="858">
        <v>365251010501182</v>
      </c>
      <c r="J11" s="859"/>
      <c r="K11" s="863">
        <v>26000</v>
      </c>
      <c r="L11" s="864"/>
      <c r="M11" s="853" t="s">
        <v>99</v>
      </c>
      <c r="N11" s="854"/>
      <c r="O11" s="854"/>
      <c r="P11" s="854"/>
      <c r="Q11" s="854"/>
      <c r="R11" s="855"/>
      <c r="S11" s="39" t="s">
        <v>100</v>
      </c>
    </row>
    <row r="12" spans="1:19" ht="54" customHeight="1">
      <c r="A12" s="853" t="s">
        <v>101</v>
      </c>
      <c r="B12" s="854"/>
      <c r="C12" s="854"/>
      <c r="D12" s="855"/>
      <c r="E12" s="856" t="s">
        <v>102</v>
      </c>
      <c r="F12" s="857"/>
      <c r="G12" s="858">
        <v>1050843</v>
      </c>
      <c r="H12" s="859"/>
      <c r="I12" s="858">
        <v>365251010500989</v>
      </c>
      <c r="J12" s="859"/>
      <c r="K12" s="863">
        <v>129310</v>
      </c>
      <c r="L12" s="864"/>
      <c r="M12" s="853" t="s">
        <v>103</v>
      </c>
      <c r="N12" s="854"/>
      <c r="O12" s="854"/>
      <c r="P12" s="854"/>
      <c r="Q12" s="854"/>
      <c r="R12" s="855"/>
    </row>
    <row r="13" spans="1:19" ht="52.5" customHeight="1">
      <c r="A13" s="853" t="s">
        <v>104</v>
      </c>
      <c r="B13" s="854"/>
      <c r="C13" s="854"/>
      <c r="D13" s="855"/>
      <c r="E13" s="856" t="s">
        <v>98</v>
      </c>
      <c r="F13" s="857"/>
      <c r="G13" s="858">
        <v>1053632</v>
      </c>
      <c r="H13" s="859"/>
      <c r="I13" s="858">
        <v>365251010501170</v>
      </c>
      <c r="J13" s="859"/>
      <c r="K13" s="863">
        <v>12925</v>
      </c>
      <c r="L13" s="864"/>
      <c r="M13" s="853" t="s">
        <v>105</v>
      </c>
      <c r="N13" s="854"/>
      <c r="O13" s="854"/>
      <c r="P13" s="854"/>
      <c r="Q13" s="854"/>
      <c r="R13" s="855"/>
    </row>
    <row r="14" spans="1:19">
      <c r="A14" s="865"/>
      <c r="B14" s="866"/>
      <c r="C14" s="866"/>
      <c r="D14" s="867"/>
      <c r="E14" s="870"/>
      <c r="F14" s="871"/>
      <c r="G14" s="868"/>
      <c r="H14" s="869"/>
      <c r="I14" s="868"/>
      <c r="J14" s="869"/>
      <c r="K14" s="875"/>
      <c r="L14" s="876"/>
      <c r="M14" s="877"/>
      <c r="N14" s="878"/>
      <c r="O14" s="878"/>
      <c r="P14" s="878"/>
      <c r="Q14" s="878"/>
      <c r="R14" s="879"/>
    </row>
    <row r="15" spans="1:19">
      <c r="A15" s="861" t="s">
        <v>106</v>
      </c>
      <c r="B15" s="852"/>
      <c r="C15" s="852"/>
      <c r="D15" s="852"/>
      <c r="E15" s="852"/>
      <c r="F15" s="852"/>
      <c r="G15" s="852"/>
      <c r="H15" s="852"/>
      <c r="I15" s="852"/>
      <c r="J15" s="852"/>
      <c r="K15" s="852"/>
      <c r="L15" s="852"/>
      <c r="M15" s="852"/>
      <c r="N15" s="852"/>
      <c r="O15" s="852"/>
      <c r="P15" s="852"/>
      <c r="Q15" s="852"/>
      <c r="R15" s="862"/>
    </row>
    <row r="16" spans="1:19">
      <c r="A16" s="872" t="s">
        <v>107</v>
      </c>
      <c r="B16" s="84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60" t="s">
        <v>109</v>
      </c>
      <c r="D18" s="860"/>
      <c r="E18" s="37"/>
      <c r="F18" s="37"/>
      <c r="G18" s="37"/>
      <c r="H18" s="37"/>
      <c r="I18" s="860" t="s">
        <v>110</v>
      </c>
      <c r="J18" s="860"/>
      <c r="K18" s="860"/>
      <c r="L18" s="37"/>
      <c r="M18" s="37"/>
      <c r="N18" s="37"/>
      <c r="O18" s="37"/>
      <c r="P18" s="873">
        <f ca="1">NOW()</f>
        <v>45572.463119444445</v>
      </c>
      <c r="Q18" s="873"/>
      <c r="R18" s="874"/>
    </row>
    <row r="19" spans="1:18">
      <c r="A19" s="841" t="s">
        <v>111</v>
      </c>
      <c r="B19" s="841"/>
      <c r="E19" s="880" t="s">
        <v>112</v>
      </c>
      <c r="F19" s="881"/>
      <c r="G19" s="881"/>
      <c r="K19" s="28" t="s">
        <v>113</v>
      </c>
    </row>
    <row r="20" spans="1:18">
      <c r="A20" s="842" t="s">
        <v>114</v>
      </c>
      <c r="B20" s="842"/>
      <c r="F20" s="842" t="s">
        <v>114</v>
      </c>
      <c r="G20" s="842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tabSelected="1" view="pageBreakPreview" zoomScaleNormal="100" zoomScaleSheetLayoutView="100" workbookViewId="0">
      <selection activeCell="C2" sqref="C2:K2"/>
    </sheetView>
  </sheetViews>
  <sheetFormatPr defaultColWidth="8.85546875" defaultRowHeight="15"/>
  <cols>
    <col min="1" max="2" width="5.5703125" style="524" bestFit="1" customWidth="1"/>
    <col min="3" max="3" width="9.5703125" style="524" bestFit="1" customWidth="1"/>
    <col min="4" max="4" width="5.28515625" style="524" bestFit="1" customWidth="1"/>
    <col min="5" max="5" width="3.5703125" style="524" bestFit="1" customWidth="1"/>
    <col min="6" max="6" width="2.7109375" style="524" bestFit="1" customWidth="1"/>
    <col min="7" max="11" width="9.85546875" style="524" customWidth="1"/>
    <col min="12" max="16384" width="8.85546875" style="524"/>
  </cols>
  <sheetData>
    <row r="1" spans="1:11" ht="36" customHeight="1">
      <c r="A1" s="526" t="s">
        <v>465</v>
      </c>
      <c r="B1" s="526" t="s">
        <v>217</v>
      </c>
      <c r="C1" s="526" t="s">
        <v>466</v>
      </c>
      <c r="D1" s="527">
        <f>封面!H10</f>
        <v>113</v>
      </c>
      <c r="E1" s="526" t="s">
        <v>118</v>
      </c>
      <c r="F1" s="527">
        <f>封面!J10</f>
        <v>9</v>
      </c>
      <c r="G1" s="608" t="s">
        <v>467</v>
      </c>
      <c r="H1" s="609"/>
      <c r="I1" s="609"/>
      <c r="J1" s="609"/>
      <c r="K1" s="609"/>
    </row>
    <row r="2" spans="1:11" ht="36" customHeight="1">
      <c r="B2" s="523" t="s">
        <v>223</v>
      </c>
      <c r="C2" s="882" t="s">
        <v>1016</v>
      </c>
      <c r="D2" s="883"/>
      <c r="E2" s="883"/>
      <c r="F2" s="883"/>
      <c r="G2" s="883"/>
      <c r="H2" s="883"/>
      <c r="I2" s="883"/>
      <c r="J2" s="883"/>
      <c r="K2" s="883"/>
    </row>
    <row r="4" spans="1:11" ht="35.450000000000003" customHeight="1">
      <c r="B4" s="612" t="s">
        <v>468</v>
      </c>
      <c r="C4" s="613"/>
      <c r="D4" s="525"/>
      <c r="E4" s="525"/>
      <c r="F4" s="614" t="s">
        <v>470</v>
      </c>
      <c r="G4" s="615"/>
      <c r="H4" s="615"/>
      <c r="I4" s="610" t="s">
        <v>469</v>
      </c>
      <c r="J4" s="611"/>
    </row>
  </sheetData>
  <mergeCells count="5">
    <mergeCell ref="G1:K1"/>
    <mergeCell ref="C2:K2"/>
    <mergeCell ref="I4:J4"/>
    <mergeCell ref="B4:C4"/>
    <mergeCell ref="F4:H4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F5375-29D2-4D50-BFE2-760548232861}">
  <sheetPr>
    <outlinePr summaryBelow="0"/>
    <pageSetUpPr autoPageBreaks="0"/>
  </sheetPr>
  <dimension ref="A2:Y378"/>
  <sheetViews>
    <sheetView showGridLines="0" topLeftCell="A205" zoomScale="115" zoomScaleNormal="115" workbookViewId="0">
      <selection activeCell="Y230" sqref="Y230"/>
    </sheetView>
  </sheetViews>
  <sheetFormatPr defaultRowHeight="12.75"/>
  <cols>
    <col min="1" max="1" width="3.140625" style="531" customWidth="1"/>
    <col min="2" max="2" width="67.28515625" style="531" customWidth="1"/>
    <col min="3" max="3" width="7.42578125" style="531" customWidth="1"/>
    <col min="4" max="4" width="1.42578125" style="531" customWidth="1"/>
    <col min="5" max="5" width="11.85546875" style="531" customWidth="1"/>
    <col min="6" max="6" width="2.28515625" style="531" customWidth="1"/>
    <col min="7" max="7" width="11.28515625" style="531" customWidth="1"/>
    <col min="8" max="8" width="2" style="531" customWidth="1"/>
    <col min="9" max="9" width="12.85546875" style="531" customWidth="1"/>
    <col min="10" max="10" width="1.42578125" style="531" customWidth="1"/>
    <col min="11" max="11" width="11.5703125" style="531" customWidth="1"/>
    <col min="12" max="12" width="2.85546875" style="531" customWidth="1"/>
    <col min="13" max="13" width="1" style="531" customWidth="1"/>
    <col min="14" max="14" width="8" style="531" customWidth="1"/>
    <col min="15" max="15" width="2.28515625" style="531" customWidth="1"/>
    <col min="16" max="16" width="2.140625" style="531" customWidth="1"/>
    <col min="17" max="17" width="9.28515625" style="531" customWidth="1"/>
    <col min="18" max="18" width="4" style="531" customWidth="1"/>
    <col min="19" max="19" width="2.85546875" style="531" customWidth="1"/>
    <col min="20" max="20" width="12.5703125" style="531" hidden="1" customWidth="1"/>
    <col min="21" max="21" width="1" style="531" hidden="1" customWidth="1"/>
    <col min="22" max="22" width="1.140625" style="531" hidden="1" customWidth="1"/>
    <col min="23" max="23" width="2.85546875" style="531" hidden="1" customWidth="1"/>
    <col min="24" max="24" width="9.85546875" style="531" hidden="1" customWidth="1"/>
    <col min="25" max="25" width="9.85546875" style="558" bestFit="1" customWidth="1"/>
    <col min="26" max="256" width="6.85546875" style="531" customWidth="1"/>
    <col min="257" max="16384" width="9.140625" style="531"/>
  </cols>
  <sheetData>
    <row r="2" spans="1:24" ht="15.75">
      <c r="R2" s="630" t="s">
        <v>929</v>
      </c>
      <c r="S2" s="630"/>
      <c r="T2" s="630"/>
      <c r="U2" s="630"/>
      <c r="V2" s="630"/>
      <c r="W2" s="630"/>
    </row>
    <row r="3" spans="1:24" ht="25.5">
      <c r="A3" s="631" t="s">
        <v>928</v>
      </c>
      <c r="B3" s="631"/>
      <c r="C3" s="631"/>
      <c r="D3" s="631"/>
      <c r="E3" s="631"/>
      <c r="F3" s="631"/>
      <c r="G3" s="631"/>
      <c r="H3" s="631"/>
      <c r="I3" s="631"/>
      <c r="J3" s="631"/>
      <c r="K3" s="631"/>
      <c r="L3" s="631"/>
      <c r="M3" s="631"/>
      <c r="N3" s="631"/>
      <c r="O3" s="631"/>
      <c r="P3" s="631"/>
      <c r="Q3" s="631"/>
      <c r="R3" s="631"/>
      <c r="S3" s="631"/>
      <c r="T3" s="631"/>
      <c r="U3" s="631"/>
      <c r="V3" s="631"/>
      <c r="W3" s="631"/>
    </row>
    <row r="4" spans="1:24" ht="25.5">
      <c r="A4" s="631" t="s">
        <v>927</v>
      </c>
      <c r="B4" s="631"/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  <c r="Q4" s="631"/>
      <c r="R4" s="631"/>
      <c r="S4" s="631"/>
      <c r="T4" s="631"/>
      <c r="U4" s="631"/>
      <c r="V4" s="631"/>
      <c r="W4" s="631"/>
    </row>
    <row r="5" spans="1:24" ht="25.5">
      <c r="A5" s="631" t="s">
        <v>926</v>
      </c>
      <c r="B5" s="631"/>
      <c r="C5" s="631"/>
      <c r="D5" s="631"/>
      <c r="E5" s="631"/>
      <c r="F5" s="631"/>
      <c r="G5" s="631"/>
      <c r="H5" s="631"/>
      <c r="I5" s="631"/>
      <c r="J5" s="631"/>
      <c r="K5" s="631"/>
      <c r="L5" s="631"/>
      <c r="M5" s="631"/>
      <c r="N5" s="631"/>
      <c r="O5" s="631"/>
      <c r="P5" s="631"/>
      <c r="Q5" s="631"/>
      <c r="R5" s="631"/>
      <c r="S5" s="631"/>
      <c r="T5" s="631"/>
      <c r="U5" s="631"/>
      <c r="V5" s="631"/>
      <c r="W5" s="631"/>
    </row>
    <row r="7" spans="1:24">
      <c r="A7" s="632" t="s">
        <v>925</v>
      </c>
      <c r="B7" s="632"/>
      <c r="C7" s="632"/>
      <c r="E7" s="632" t="s">
        <v>924</v>
      </c>
      <c r="F7" s="632" t="s">
        <v>923</v>
      </c>
      <c r="G7" s="632"/>
      <c r="H7" s="632" t="s">
        <v>922</v>
      </c>
      <c r="I7" s="632"/>
      <c r="K7" s="632" t="s">
        <v>921</v>
      </c>
      <c r="L7" s="632"/>
      <c r="N7" s="632" t="s">
        <v>920</v>
      </c>
      <c r="Q7" s="632" t="s">
        <v>919</v>
      </c>
      <c r="R7" s="632"/>
      <c r="T7" s="632" t="s">
        <v>918</v>
      </c>
      <c r="W7" s="632" t="s">
        <v>917</v>
      </c>
      <c r="X7" s="632"/>
    </row>
    <row r="8" spans="1:24">
      <c r="A8" s="632"/>
      <c r="B8" s="632"/>
      <c r="C8" s="632"/>
      <c r="E8" s="632"/>
      <c r="F8" s="632"/>
      <c r="G8" s="632"/>
      <c r="H8" s="632"/>
      <c r="I8" s="632"/>
      <c r="K8" s="632"/>
      <c r="L8" s="632"/>
      <c r="N8" s="632"/>
      <c r="Q8" s="632"/>
      <c r="R8" s="632"/>
      <c r="T8" s="632"/>
      <c r="W8" s="632"/>
      <c r="X8" s="632"/>
    </row>
    <row r="9" spans="1:24">
      <c r="A9" s="632"/>
      <c r="B9" s="632"/>
      <c r="C9" s="632"/>
      <c r="E9" s="632"/>
      <c r="F9" s="632"/>
      <c r="G9" s="632"/>
      <c r="H9" s="632"/>
      <c r="I9" s="632"/>
      <c r="K9" s="632"/>
      <c r="L9" s="632"/>
      <c r="N9" s="632"/>
      <c r="Q9" s="632"/>
      <c r="R9" s="632"/>
      <c r="T9" s="632"/>
      <c r="W9" s="632"/>
      <c r="X9" s="632"/>
    </row>
    <row r="11" spans="1:24" ht="15">
      <c r="B11" s="617" t="s">
        <v>916</v>
      </c>
      <c r="C11" s="617"/>
      <c r="E11" s="553">
        <v>165171</v>
      </c>
      <c r="G11" s="553">
        <v>159635</v>
      </c>
      <c r="I11" s="553">
        <v>104894</v>
      </c>
      <c r="Q11" s="618">
        <v>60277</v>
      </c>
      <c r="R11" s="618"/>
      <c r="T11" s="618">
        <v>60277</v>
      </c>
      <c r="U11" s="618"/>
      <c r="W11" s="618">
        <v>60277</v>
      </c>
      <c r="X11" s="618"/>
    </row>
    <row r="12" spans="1:24">
      <c r="B12" s="617"/>
      <c r="C12" s="617"/>
    </row>
    <row r="13" spans="1:24" ht="15">
      <c r="B13" s="617" t="s">
        <v>915</v>
      </c>
      <c r="C13" s="617"/>
      <c r="E13" s="553">
        <v>905799</v>
      </c>
      <c r="G13" s="553">
        <v>845902</v>
      </c>
      <c r="I13" s="553">
        <v>612960</v>
      </c>
      <c r="Q13" s="618">
        <v>292839</v>
      </c>
      <c r="R13" s="618"/>
      <c r="T13" s="618">
        <v>292839</v>
      </c>
      <c r="U13" s="618"/>
      <c r="W13" s="618">
        <v>292839</v>
      </c>
      <c r="X13" s="618"/>
    </row>
    <row r="14" spans="1:24">
      <c r="B14" s="617"/>
      <c r="C14" s="617"/>
    </row>
    <row r="15" spans="1:24" ht="15">
      <c r="B15" s="617" t="s">
        <v>914</v>
      </c>
      <c r="C15" s="617"/>
      <c r="E15" s="553">
        <v>58291</v>
      </c>
      <c r="G15" s="553">
        <v>58291</v>
      </c>
      <c r="I15" s="553">
        <v>58291</v>
      </c>
    </row>
    <row r="16" spans="1:24">
      <c r="B16" s="617"/>
      <c r="C16" s="617"/>
    </row>
    <row r="17" spans="2:25" ht="15">
      <c r="B17" s="617" t="s">
        <v>913</v>
      </c>
      <c r="C17" s="617"/>
      <c r="E17" s="553">
        <v>68825</v>
      </c>
      <c r="G17" s="553">
        <v>67970</v>
      </c>
      <c r="I17" s="553">
        <v>68825</v>
      </c>
    </row>
    <row r="18" spans="2:25">
      <c r="B18" s="617"/>
      <c r="C18" s="617"/>
    </row>
    <row r="19" spans="2:25" ht="15">
      <c r="B19" s="617" t="s">
        <v>912</v>
      </c>
      <c r="C19" s="617"/>
      <c r="E19" s="553">
        <v>1040926</v>
      </c>
      <c r="G19" s="553">
        <v>860666</v>
      </c>
      <c r="I19" s="553">
        <v>658694</v>
      </c>
      <c r="Q19" s="618">
        <v>382232</v>
      </c>
      <c r="R19" s="618"/>
      <c r="T19" s="618">
        <v>382232</v>
      </c>
      <c r="U19" s="618"/>
      <c r="W19" s="618">
        <v>382232</v>
      </c>
      <c r="X19" s="618"/>
    </row>
    <row r="20" spans="2:25">
      <c r="B20" s="617"/>
      <c r="C20" s="617"/>
    </row>
    <row r="21" spans="2:25" ht="15">
      <c r="B21" s="617" t="s">
        <v>911</v>
      </c>
      <c r="C21" s="617"/>
      <c r="E21" s="553">
        <v>411061</v>
      </c>
      <c r="G21" s="553">
        <v>401995</v>
      </c>
      <c r="I21" s="553">
        <v>282747</v>
      </c>
      <c r="Q21" s="618">
        <v>128314</v>
      </c>
      <c r="R21" s="618"/>
      <c r="T21" s="618">
        <v>128314</v>
      </c>
      <c r="U21" s="618"/>
      <c r="W21" s="618">
        <v>128314</v>
      </c>
      <c r="X21" s="618"/>
    </row>
    <row r="22" spans="2:25">
      <c r="B22" s="617"/>
      <c r="C22" s="617"/>
    </row>
    <row r="23" spans="2:25" ht="15">
      <c r="B23" s="624" t="s">
        <v>910</v>
      </c>
      <c r="C23" s="624"/>
      <c r="E23" s="553">
        <v>198275</v>
      </c>
      <c r="G23" s="553">
        <v>198275</v>
      </c>
      <c r="I23" s="553">
        <v>198275</v>
      </c>
    </row>
    <row r="24" spans="2:25">
      <c r="B24" s="624"/>
      <c r="C24" s="624"/>
    </row>
    <row r="25" spans="2:25" s="554" customFormat="1" ht="15">
      <c r="B25" s="625" t="s">
        <v>909</v>
      </c>
      <c r="C25" s="625"/>
      <c r="E25" s="555">
        <v>654192</v>
      </c>
      <c r="G25" s="555">
        <v>654192</v>
      </c>
      <c r="I25" s="555">
        <v>654192</v>
      </c>
      <c r="Y25" s="559"/>
    </row>
    <row r="26" spans="2:25" s="554" customFormat="1">
      <c r="B26" s="625"/>
      <c r="C26" s="625"/>
      <c r="Y26" s="559"/>
    </row>
    <row r="27" spans="2:25" ht="15">
      <c r="B27" s="617" t="s">
        <v>908</v>
      </c>
      <c r="C27" s="617"/>
      <c r="E27" s="553">
        <v>6838005</v>
      </c>
      <c r="G27" s="553">
        <v>6838005</v>
      </c>
      <c r="I27" s="553">
        <v>6838005</v>
      </c>
    </row>
    <row r="28" spans="2:25">
      <c r="B28" s="617"/>
      <c r="C28" s="617"/>
    </row>
    <row r="29" spans="2:25" s="556" customFormat="1" ht="15">
      <c r="B29" s="626" t="s">
        <v>907</v>
      </c>
      <c r="C29" s="626"/>
      <c r="E29" s="557">
        <v>500</v>
      </c>
      <c r="Q29" s="627">
        <v>500</v>
      </c>
      <c r="R29" s="627"/>
      <c r="T29" s="627">
        <v>500</v>
      </c>
      <c r="U29" s="627"/>
      <c r="W29" s="627">
        <v>500</v>
      </c>
      <c r="X29" s="627"/>
      <c r="Y29" s="561">
        <f>Q29</f>
        <v>500</v>
      </c>
    </row>
    <row r="30" spans="2:25" s="556" customFormat="1">
      <c r="B30" s="626"/>
      <c r="C30" s="626"/>
      <c r="Y30" s="560"/>
    </row>
    <row r="31" spans="2:25" s="562" customFormat="1" ht="15">
      <c r="B31" s="628" t="s">
        <v>906</v>
      </c>
      <c r="C31" s="628"/>
      <c r="E31" s="563">
        <v>1039899</v>
      </c>
      <c r="Q31" s="629">
        <v>1039899</v>
      </c>
      <c r="R31" s="629"/>
      <c r="T31" s="629">
        <v>1039899</v>
      </c>
      <c r="U31" s="629"/>
      <c r="W31" s="629">
        <v>1039899</v>
      </c>
      <c r="X31" s="629"/>
      <c r="Y31" s="568">
        <f>Q31</f>
        <v>1039899</v>
      </c>
    </row>
    <row r="32" spans="2:25" s="562" customFormat="1">
      <c r="B32" s="628"/>
      <c r="C32" s="628"/>
      <c r="Y32" s="564"/>
    </row>
    <row r="33" spans="2:25" s="565" customFormat="1" ht="15">
      <c r="B33" s="622" t="s">
        <v>905</v>
      </c>
      <c r="C33" s="622"/>
      <c r="E33" s="566">
        <v>1039963</v>
      </c>
      <c r="Q33" s="623">
        <v>1039963</v>
      </c>
      <c r="R33" s="623"/>
      <c r="T33" s="623">
        <v>1039963</v>
      </c>
      <c r="U33" s="623"/>
      <c r="W33" s="623">
        <v>1039963</v>
      </c>
      <c r="X33" s="623"/>
      <c r="Y33" s="569">
        <f>Q33</f>
        <v>1039963</v>
      </c>
    </row>
    <row r="34" spans="2:25" s="565" customFormat="1">
      <c r="B34" s="622"/>
      <c r="C34" s="622"/>
      <c r="Y34" s="567"/>
    </row>
    <row r="35" spans="2:25" ht="15">
      <c r="B35" s="617" t="s">
        <v>904</v>
      </c>
      <c r="C35" s="617"/>
      <c r="E35" s="553">
        <v>10514524</v>
      </c>
      <c r="G35" s="553">
        <v>10508072</v>
      </c>
      <c r="I35" s="553">
        <v>10508072</v>
      </c>
      <c r="Q35" s="618">
        <v>6452</v>
      </c>
      <c r="R35" s="618"/>
      <c r="T35" s="618">
        <v>6452</v>
      </c>
      <c r="U35" s="618"/>
      <c r="W35" s="618">
        <v>6452</v>
      </c>
      <c r="X35" s="618"/>
    </row>
    <row r="36" spans="2:25">
      <c r="B36" s="617"/>
      <c r="C36" s="617"/>
    </row>
    <row r="37" spans="2:25" ht="15">
      <c r="B37" s="617" t="s">
        <v>903</v>
      </c>
      <c r="C37" s="617"/>
      <c r="E37" s="553">
        <v>2755825</v>
      </c>
      <c r="G37" s="553">
        <v>2751759</v>
      </c>
      <c r="I37" s="553">
        <v>2751841</v>
      </c>
      <c r="Q37" s="618">
        <v>3984</v>
      </c>
      <c r="R37" s="618"/>
      <c r="T37" s="618">
        <v>3984</v>
      </c>
      <c r="U37" s="618"/>
      <c r="W37" s="618">
        <v>3984</v>
      </c>
      <c r="X37" s="618"/>
    </row>
    <row r="38" spans="2:25">
      <c r="B38" s="617"/>
      <c r="C38" s="617"/>
    </row>
    <row r="39" spans="2:25" ht="15">
      <c r="B39" s="617" t="s">
        <v>902</v>
      </c>
      <c r="C39" s="617"/>
      <c r="E39" s="553">
        <v>2277612</v>
      </c>
      <c r="G39" s="553">
        <v>1881196</v>
      </c>
      <c r="I39" s="553">
        <v>1882497</v>
      </c>
      <c r="Q39" s="618">
        <v>395115</v>
      </c>
      <c r="R39" s="618"/>
      <c r="T39" s="618">
        <v>395115</v>
      </c>
      <c r="U39" s="618"/>
      <c r="W39" s="618">
        <v>395115</v>
      </c>
      <c r="X39" s="618"/>
    </row>
    <row r="40" spans="2:25">
      <c r="B40" s="617"/>
      <c r="C40" s="617"/>
    </row>
    <row r="41" spans="2:25" ht="15">
      <c r="B41" s="617" t="s">
        <v>901</v>
      </c>
      <c r="C41" s="617"/>
      <c r="E41" s="553">
        <v>369451</v>
      </c>
      <c r="G41" s="553">
        <v>304360</v>
      </c>
      <c r="I41" s="553">
        <v>304360</v>
      </c>
      <c r="Q41" s="618">
        <v>65091</v>
      </c>
      <c r="R41" s="618"/>
      <c r="T41" s="618">
        <v>65091</v>
      </c>
      <c r="U41" s="618"/>
      <c r="W41" s="618">
        <v>65091</v>
      </c>
      <c r="X41" s="618"/>
    </row>
    <row r="42" spans="2:25">
      <c r="B42" s="617"/>
      <c r="C42" s="617"/>
    </row>
    <row r="43" spans="2:25" ht="15">
      <c r="B43" s="617" t="s">
        <v>900</v>
      </c>
      <c r="C43" s="617"/>
      <c r="E43" s="553">
        <v>17449</v>
      </c>
      <c r="G43" s="553">
        <v>14848</v>
      </c>
      <c r="I43" s="553">
        <v>14848</v>
      </c>
      <c r="Q43" s="618">
        <v>2601</v>
      </c>
      <c r="R43" s="618"/>
      <c r="T43" s="618">
        <v>2601</v>
      </c>
      <c r="U43" s="618"/>
      <c r="W43" s="618">
        <v>2601</v>
      </c>
      <c r="X43" s="618"/>
    </row>
    <row r="44" spans="2:25">
      <c r="B44" s="617"/>
      <c r="C44" s="617"/>
    </row>
    <row r="45" spans="2:25" ht="15">
      <c r="B45" s="617" t="s">
        <v>899</v>
      </c>
      <c r="C45" s="617"/>
      <c r="E45" s="553">
        <v>1527442</v>
      </c>
      <c r="G45" s="553">
        <v>1490328</v>
      </c>
      <c r="I45" s="553">
        <v>1490328</v>
      </c>
      <c r="Q45" s="618">
        <v>37114</v>
      </c>
      <c r="R45" s="618"/>
      <c r="T45" s="618">
        <v>37114</v>
      </c>
      <c r="U45" s="618"/>
      <c r="W45" s="618">
        <v>37114</v>
      </c>
      <c r="X45" s="618"/>
    </row>
    <row r="46" spans="2:25">
      <c r="B46" s="617"/>
      <c r="C46" s="617"/>
    </row>
    <row r="47" spans="2:25" ht="15">
      <c r="B47" s="617" t="s">
        <v>898</v>
      </c>
      <c r="C47" s="617"/>
      <c r="E47" s="553">
        <v>34206</v>
      </c>
      <c r="G47" s="553">
        <v>34206</v>
      </c>
      <c r="I47" s="553">
        <v>34206</v>
      </c>
    </row>
    <row r="48" spans="2:25">
      <c r="B48" s="617"/>
      <c r="C48" s="617"/>
    </row>
    <row r="49" spans="2:24" ht="15">
      <c r="B49" s="617" t="s">
        <v>897</v>
      </c>
      <c r="C49" s="617"/>
      <c r="E49" s="553">
        <v>234171</v>
      </c>
      <c r="G49" s="553">
        <v>178853</v>
      </c>
      <c r="I49" s="553">
        <v>178532</v>
      </c>
      <c r="M49" s="621">
        <v>321</v>
      </c>
      <c r="N49" s="621"/>
      <c r="O49" s="621"/>
      <c r="Q49" s="618">
        <v>55639</v>
      </c>
      <c r="R49" s="618"/>
      <c r="T49" s="618">
        <v>55639</v>
      </c>
      <c r="U49" s="618"/>
      <c r="W49" s="618">
        <v>55318</v>
      </c>
      <c r="X49" s="618"/>
    </row>
    <row r="50" spans="2:24">
      <c r="B50" s="617"/>
      <c r="C50" s="617"/>
    </row>
    <row r="51" spans="2:24" ht="15">
      <c r="B51" s="617" t="s">
        <v>896</v>
      </c>
      <c r="C51" s="617"/>
      <c r="E51" s="553">
        <v>43737</v>
      </c>
      <c r="G51" s="553">
        <v>18778</v>
      </c>
      <c r="I51" s="553">
        <v>40254</v>
      </c>
      <c r="Q51" s="618">
        <v>3483</v>
      </c>
      <c r="R51" s="618"/>
      <c r="T51" s="618">
        <v>3483</v>
      </c>
      <c r="U51" s="618"/>
      <c r="W51" s="618">
        <v>3483</v>
      </c>
      <c r="X51" s="618"/>
    </row>
    <row r="52" spans="2:24">
      <c r="B52" s="617"/>
      <c r="C52" s="617"/>
    </row>
    <row r="53" spans="2:24" ht="15">
      <c r="B53" s="617" t="s">
        <v>895</v>
      </c>
      <c r="C53" s="617"/>
      <c r="E53" s="553">
        <v>107800</v>
      </c>
      <c r="G53" s="553">
        <v>90100</v>
      </c>
      <c r="I53" s="553">
        <v>90100</v>
      </c>
      <c r="Q53" s="618">
        <v>17700</v>
      </c>
      <c r="R53" s="618"/>
      <c r="T53" s="618">
        <v>17700</v>
      </c>
      <c r="U53" s="618"/>
      <c r="W53" s="618">
        <v>17700</v>
      </c>
      <c r="X53" s="618"/>
    </row>
    <row r="54" spans="2:24">
      <c r="B54" s="617"/>
      <c r="C54" s="617"/>
    </row>
    <row r="55" spans="2:24" ht="15">
      <c r="B55" s="617" t="s">
        <v>894</v>
      </c>
      <c r="C55" s="617"/>
      <c r="E55" s="553">
        <v>243475</v>
      </c>
      <c r="I55" s="553">
        <v>198275</v>
      </c>
      <c r="Q55" s="618">
        <v>45200</v>
      </c>
      <c r="R55" s="618"/>
      <c r="T55" s="618">
        <v>45200</v>
      </c>
      <c r="U55" s="618"/>
      <c r="W55" s="618">
        <v>45200</v>
      </c>
      <c r="X55" s="618"/>
    </row>
    <row r="56" spans="2:24">
      <c r="B56" s="617"/>
      <c r="C56" s="617"/>
    </row>
    <row r="57" spans="2:24" ht="15">
      <c r="B57" s="617" t="s">
        <v>893</v>
      </c>
      <c r="C57" s="617"/>
      <c r="E57" s="553">
        <v>1373487</v>
      </c>
      <c r="G57" s="553">
        <v>1096701</v>
      </c>
      <c r="I57" s="553">
        <v>1096701</v>
      </c>
      <c r="Q57" s="618">
        <v>276786</v>
      </c>
      <c r="R57" s="618"/>
      <c r="T57" s="618">
        <v>276786</v>
      </c>
      <c r="U57" s="618"/>
      <c r="W57" s="618">
        <v>276786</v>
      </c>
      <c r="X57" s="618"/>
    </row>
    <row r="58" spans="2:24">
      <c r="B58" s="617"/>
      <c r="C58" s="617"/>
    </row>
    <row r="59" spans="2:24" ht="15">
      <c r="B59" s="617" t="s">
        <v>892</v>
      </c>
      <c r="C59" s="617"/>
      <c r="E59" s="553">
        <v>746905</v>
      </c>
      <c r="G59" s="553">
        <v>746905</v>
      </c>
      <c r="I59" s="553">
        <v>746905</v>
      </c>
    </row>
    <row r="60" spans="2:24">
      <c r="B60" s="617"/>
      <c r="C60" s="617"/>
    </row>
    <row r="61" spans="2:24" ht="15">
      <c r="B61" s="617" t="s">
        <v>891</v>
      </c>
      <c r="C61" s="617"/>
      <c r="E61" s="553">
        <v>165200</v>
      </c>
      <c r="G61" s="553">
        <v>165200</v>
      </c>
      <c r="I61" s="553">
        <v>165200</v>
      </c>
    </row>
    <row r="62" spans="2:24">
      <c r="B62" s="617"/>
      <c r="C62" s="617"/>
    </row>
    <row r="63" spans="2:24" ht="15">
      <c r="B63" s="617" t="s">
        <v>890</v>
      </c>
      <c r="C63" s="617"/>
      <c r="E63" s="553">
        <v>1104463</v>
      </c>
      <c r="G63" s="553">
        <v>992919</v>
      </c>
      <c r="I63" s="553">
        <v>999015</v>
      </c>
      <c r="Q63" s="618">
        <v>105448</v>
      </c>
      <c r="R63" s="618"/>
      <c r="T63" s="618">
        <v>105448</v>
      </c>
      <c r="U63" s="618"/>
      <c r="W63" s="618">
        <v>105448</v>
      </c>
      <c r="X63" s="618"/>
    </row>
    <row r="64" spans="2:24">
      <c r="B64" s="617"/>
      <c r="C64" s="617"/>
    </row>
    <row r="65" spans="2:9" ht="15">
      <c r="B65" s="617" t="s">
        <v>889</v>
      </c>
      <c r="C65" s="617"/>
      <c r="E65" s="553">
        <v>37200</v>
      </c>
      <c r="G65" s="553">
        <v>26040</v>
      </c>
      <c r="I65" s="553">
        <v>37200</v>
      </c>
    </row>
    <row r="66" spans="2:9">
      <c r="B66" s="617"/>
      <c r="C66" s="617"/>
    </row>
    <row r="67" spans="2:9" ht="15">
      <c r="B67" s="617" t="s">
        <v>888</v>
      </c>
      <c r="C67" s="617"/>
      <c r="E67" s="553">
        <v>61600</v>
      </c>
      <c r="G67" s="553">
        <v>43120</v>
      </c>
      <c r="I67" s="553">
        <v>61600</v>
      </c>
    </row>
    <row r="68" spans="2:9">
      <c r="B68" s="617"/>
      <c r="C68" s="617"/>
    </row>
    <row r="69" spans="2:9" ht="15">
      <c r="B69" s="617" t="s">
        <v>887</v>
      </c>
      <c r="C69" s="617"/>
      <c r="E69" s="553">
        <v>18500</v>
      </c>
      <c r="G69" s="553">
        <v>12244</v>
      </c>
      <c r="I69" s="553">
        <v>18500</v>
      </c>
    </row>
    <row r="70" spans="2:9">
      <c r="B70" s="617"/>
      <c r="C70" s="617"/>
    </row>
    <row r="71" spans="2:9" ht="15">
      <c r="B71" s="617" t="s">
        <v>886</v>
      </c>
      <c r="C71" s="617"/>
      <c r="E71" s="553">
        <v>38400</v>
      </c>
      <c r="G71" s="553">
        <v>30236</v>
      </c>
      <c r="I71" s="553">
        <v>38400</v>
      </c>
    </row>
    <row r="72" spans="2:9">
      <c r="B72" s="617"/>
      <c r="C72" s="617"/>
    </row>
    <row r="73" spans="2:9" ht="15">
      <c r="B73" s="617" t="s">
        <v>885</v>
      </c>
      <c r="C73" s="617"/>
      <c r="E73" s="553">
        <v>120000</v>
      </c>
      <c r="G73" s="553">
        <v>83232</v>
      </c>
      <c r="I73" s="553">
        <v>120000</v>
      </c>
    </row>
    <row r="74" spans="2:9">
      <c r="B74" s="617"/>
      <c r="C74" s="617"/>
    </row>
    <row r="75" spans="2:9" ht="15">
      <c r="B75" s="617" t="s">
        <v>884</v>
      </c>
      <c r="C75" s="617"/>
      <c r="E75" s="553">
        <v>26400</v>
      </c>
      <c r="G75" s="553">
        <v>18480</v>
      </c>
      <c r="I75" s="553">
        <v>26400</v>
      </c>
    </row>
    <row r="76" spans="2:9">
      <c r="B76" s="617"/>
      <c r="C76" s="617"/>
    </row>
    <row r="77" spans="2:9" ht="15">
      <c r="B77" s="617" t="s">
        <v>883</v>
      </c>
      <c r="C77" s="617"/>
      <c r="E77" s="553">
        <v>55500</v>
      </c>
      <c r="G77" s="553">
        <v>39912</v>
      </c>
      <c r="I77" s="553">
        <v>55500</v>
      </c>
    </row>
    <row r="78" spans="2:9">
      <c r="B78" s="617"/>
      <c r="C78" s="617"/>
    </row>
    <row r="79" spans="2:9" ht="15">
      <c r="B79" s="617" t="s">
        <v>882</v>
      </c>
      <c r="C79" s="617"/>
      <c r="E79" s="553">
        <v>61250</v>
      </c>
      <c r="G79" s="553">
        <v>42881</v>
      </c>
      <c r="I79" s="553">
        <v>61250</v>
      </c>
    </row>
    <row r="80" spans="2:9">
      <c r="B80" s="617"/>
      <c r="C80" s="617"/>
    </row>
    <row r="81" spans="2:24" ht="15">
      <c r="B81" s="617" t="s">
        <v>881</v>
      </c>
      <c r="C81" s="617"/>
      <c r="E81" s="553">
        <v>55800</v>
      </c>
      <c r="G81" s="553">
        <v>39065</v>
      </c>
      <c r="I81" s="553">
        <v>55800</v>
      </c>
    </row>
    <row r="82" spans="2:24">
      <c r="B82" s="617"/>
      <c r="C82" s="617"/>
    </row>
    <row r="83" spans="2:24" ht="15">
      <c r="B83" s="617" t="s">
        <v>880</v>
      </c>
      <c r="C83" s="617"/>
      <c r="E83" s="553">
        <v>54000</v>
      </c>
      <c r="G83" s="553">
        <v>37804</v>
      </c>
      <c r="I83" s="553">
        <v>54000</v>
      </c>
    </row>
    <row r="84" spans="2:24">
      <c r="B84" s="617"/>
      <c r="C84" s="617"/>
    </row>
    <row r="85" spans="2:24" ht="15">
      <c r="B85" s="617" t="s">
        <v>879</v>
      </c>
      <c r="C85" s="617"/>
      <c r="E85" s="553">
        <v>62400</v>
      </c>
      <c r="G85" s="553">
        <v>43677</v>
      </c>
      <c r="I85" s="553">
        <v>62400</v>
      </c>
    </row>
    <row r="86" spans="2:24">
      <c r="B86" s="617"/>
      <c r="C86" s="617"/>
    </row>
    <row r="87" spans="2:24" ht="15">
      <c r="B87" s="617" t="s">
        <v>878</v>
      </c>
      <c r="C87" s="617"/>
      <c r="E87" s="553">
        <v>36400</v>
      </c>
      <c r="G87" s="553">
        <v>32900</v>
      </c>
      <c r="I87" s="553">
        <v>36400</v>
      </c>
    </row>
    <row r="88" spans="2:24">
      <c r="B88" s="617"/>
      <c r="C88" s="617"/>
    </row>
    <row r="89" spans="2:24" ht="15">
      <c r="B89" s="617" t="s">
        <v>877</v>
      </c>
      <c r="C89" s="617"/>
      <c r="E89" s="553">
        <v>27000</v>
      </c>
      <c r="G89" s="553">
        <v>18889</v>
      </c>
      <c r="I89" s="553">
        <v>27000</v>
      </c>
    </row>
    <row r="90" spans="2:24">
      <c r="B90" s="617"/>
      <c r="C90" s="617"/>
    </row>
    <row r="91" spans="2:24" ht="15">
      <c r="B91" s="617" t="s">
        <v>876</v>
      </c>
      <c r="C91" s="617"/>
      <c r="E91" s="553">
        <v>163800</v>
      </c>
      <c r="G91" s="553">
        <v>113407</v>
      </c>
      <c r="I91" s="553">
        <v>163800</v>
      </c>
    </row>
    <row r="92" spans="2:24">
      <c r="B92" s="617"/>
      <c r="C92" s="617"/>
    </row>
    <row r="93" spans="2:24" ht="15">
      <c r="B93" s="617" t="s">
        <v>875</v>
      </c>
      <c r="C93" s="617"/>
      <c r="E93" s="553">
        <v>222005</v>
      </c>
      <c r="G93" s="553">
        <v>177000</v>
      </c>
      <c r="I93" s="553">
        <v>177000</v>
      </c>
      <c r="Q93" s="618">
        <v>45005</v>
      </c>
      <c r="R93" s="618"/>
      <c r="T93" s="618">
        <v>45005</v>
      </c>
      <c r="U93" s="618"/>
      <c r="W93" s="618">
        <v>45005</v>
      </c>
      <c r="X93" s="618"/>
    </row>
    <row r="94" spans="2:24">
      <c r="B94" s="617"/>
      <c r="C94" s="617"/>
    </row>
    <row r="95" spans="2:24" ht="15">
      <c r="B95" s="617" t="s">
        <v>874</v>
      </c>
      <c r="C95" s="617"/>
      <c r="E95" s="553">
        <v>140550</v>
      </c>
      <c r="G95" s="553">
        <v>140550</v>
      </c>
      <c r="I95" s="553">
        <v>140550</v>
      </c>
    </row>
    <row r="96" spans="2:24">
      <c r="B96" s="617"/>
      <c r="C96" s="617"/>
    </row>
    <row r="97" spans="2:24" ht="15">
      <c r="B97" s="617" t="s">
        <v>873</v>
      </c>
      <c r="C97" s="617"/>
      <c r="E97" s="553">
        <v>71343</v>
      </c>
      <c r="G97" s="553">
        <v>71343</v>
      </c>
      <c r="I97" s="553">
        <v>71343</v>
      </c>
    </row>
    <row r="98" spans="2:24">
      <c r="B98" s="617"/>
      <c r="C98" s="617"/>
    </row>
    <row r="99" spans="2:24" ht="15">
      <c r="B99" s="617" t="s">
        <v>872</v>
      </c>
      <c r="C99" s="617"/>
      <c r="E99" s="553">
        <v>111415</v>
      </c>
      <c r="G99" s="553">
        <v>111415</v>
      </c>
      <c r="I99" s="553">
        <v>111415</v>
      </c>
    </row>
    <row r="100" spans="2:24">
      <c r="B100" s="617"/>
      <c r="C100" s="617"/>
    </row>
    <row r="101" spans="2:24" ht="15">
      <c r="B101" s="617" t="s">
        <v>871</v>
      </c>
      <c r="C101" s="617"/>
      <c r="E101" s="553">
        <v>97854</v>
      </c>
      <c r="Q101" s="618">
        <v>97854</v>
      </c>
      <c r="R101" s="618"/>
      <c r="T101" s="618">
        <v>97854</v>
      </c>
      <c r="U101" s="618"/>
      <c r="W101" s="618">
        <v>97854</v>
      </c>
      <c r="X101" s="618"/>
    </row>
    <row r="102" spans="2:24">
      <c r="B102" s="617"/>
      <c r="C102" s="617"/>
    </row>
    <row r="103" spans="2:24">
      <c r="B103" s="617"/>
      <c r="C103" s="617"/>
    </row>
    <row r="104" spans="2:24" ht="15">
      <c r="B104" s="617" t="s">
        <v>870</v>
      </c>
      <c r="C104" s="617"/>
      <c r="E104" s="553">
        <v>120000</v>
      </c>
      <c r="G104" s="553">
        <v>118774</v>
      </c>
      <c r="I104" s="553">
        <v>120000</v>
      </c>
    </row>
    <row r="105" spans="2:24">
      <c r="B105" s="617"/>
      <c r="C105" s="617"/>
    </row>
    <row r="106" spans="2:24" ht="15">
      <c r="B106" s="617" t="s">
        <v>869</v>
      </c>
      <c r="C106" s="617"/>
      <c r="E106" s="553">
        <v>277961</v>
      </c>
      <c r="G106" s="553">
        <v>127961</v>
      </c>
      <c r="I106" s="553">
        <v>127961</v>
      </c>
      <c r="Q106" s="618">
        <v>150000</v>
      </c>
      <c r="R106" s="618"/>
      <c r="T106" s="618">
        <v>150000</v>
      </c>
      <c r="U106" s="618"/>
      <c r="W106" s="618">
        <v>150000</v>
      </c>
      <c r="X106" s="618"/>
    </row>
    <row r="107" spans="2:24">
      <c r="B107" s="617"/>
      <c r="C107" s="617"/>
    </row>
    <row r="108" spans="2:24" ht="15">
      <c r="B108" s="617" t="s">
        <v>868</v>
      </c>
      <c r="C108" s="617"/>
      <c r="E108" s="553">
        <v>604642</v>
      </c>
      <c r="G108" s="553">
        <v>544747</v>
      </c>
      <c r="I108" s="553">
        <v>552802</v>
      </c>
      <c r="Q108" s="618">
        <v>51840</v>
      </c>
      <c r="R108" s="618"/>
      <c r="T108" s="618">
        <v>51840</v>
      </c>
      <c r="U108" s="618"/>
      <c r="W108" s="618">
        <v>51840</v>
      </c>
      <c r="X108" s="618"/>
    </row>
    <row r="109" spans="2:24">
      <c r="B109" s="617"/>
      <c r="C109" s="617"/>
    </row>
    <row r="110" spans="2:24" ht="15">
      <c r="B110" s="617" t="s">
        <v>867</v>
      </c>
      <c r="C110" s="617"/>
      <c r="E110" s="553">
        <v>301430</v>
      </c>
      <c r="G110" s="553">
        <v>30544</v>
      </c>
      <c r="I110" s="553">
        <v>301430</v>
      </c>
    </row>
    <row r="111" spans="2:24">
      <c r="B111" s="617"/>
      <c r="C111" s="617"/>
    </row>
    <row r="112" spans="2:24" ht="15">
      <c r="B112" s="617" t="s">
        <v>866</v>
      </c>
      <c r="C112" s="617"/>
      <c r="E112" s="553">
        <v>141719</v>
      </c>
      <c r="G112" s="553">
        <v>141339</v>
      </c>
      <c r="I112" s="553">
        <v>141719</v>
      </c>
    </row>
    <row r="113" spans="2:24">
      <c r="B113" s="617"/>
      <c r="C113" s="617"/>
    </row>
    <row r="114" spans="2:24">
      <c r="B114" s="617"/>
      <c r="C114" s="617"/>
    </row>
    <row r="115" spans="2:24" ht="15">
      <c r="B115" s="617" t="s">
        <v>865</v>
      </c>
      <c r="C115" s="617"/>
      <c r="E115" s="553">
        <v>192199</v>
      </c>
      <c r="G115" s="553">
        <v>191327</v>
      </c>
      <c r="I115" s="553">
        <v>192199</v>
      </c>
    </row>
    <row r="116" spans="2:24">
      <c r="B116" s="617"/>
      <c r="C116" s="617"/>
    </row>
    <row r="117" spans="2:24" ht="15">
      <c r="B117" s="617" t="s">
        <v>864</v>
      </c>
      <c r="C117" s="617"/>
      <c r="E117" s="553">
        <v>72000</v>
      </c>
      <c r="G117" s="553">
        <v>71873</v>
      </c>
      <c r="I117" s="553">
        <v>72000</v>
      </c>
    </row>
    <row r="118" spans="2:24">
      <c r="B118" s="617"/>
      <c r="C118" s="617"/>
    </row>
    <row r="119" spans="2:24" ht="15">
      <c r="B119" s="617" t="s">
        <v>863</v>
      </c>
      <c r="C119" s="617"/>
      <c r="E119" s="553">
        <v>16422</v>
      </c>
      <c r="G119" s="553">
        <v>16422</v>
      </c>
      <c r="I119" s="553">
        <v>16422</v>
      </c>
    </row>
    <row r="120" spans="2:24">
      <c r="B120" s="617"/>
      <c r="C120" s="617"/>
    </row>
    <row r="121" spans="2:24">
      <c r="B121" s="617"/>
      <c r="C121" s="617"/>
    </row>
    <row r="122" spans="2:24" ht="15">
      <c r="B122" s="617" t="s">
        <v>862</v>
      </c>
      <c r="C122" s="617"/>
      <c r="E122" s="553">
        <v>157580</v>
      </c>
      <c r="G122" s="553">
        <v>156854</v>
      </c>
      <c r="I122" s="553">
        <v>157580</v>
      </c>
    </row>
    <row r="123" spans="2:24">
      <c r="B123" s="617"/>
      <c r="C123" s="617"/>
    </row>
    <row r="124" spans="2:24" ht="15">
      <c r="B124" s="617" t="s">
        <v>861</v>
      </c>
      <c r="C124" s="617"/>
      <c r="E124" s="553">
        <v>197447</v>
      </c>
      <c r="G124" s="553">
        <v>197394</v>
      </c>
      <c r="I124" s="553">
        <v>197447</v>
      </c>
    </row>
    <row r="125" spans="2:24">
      <c r="B125" s="617"/>
      <c r="C125" s="617"/>
    </row>
    <row r="126" spans="2:24">
      <c r="B126" s="617"/>
      <c r="C126" s="617"/>
    </row>
    <row r="127" spans="2:24" ht="15">
      <c r="B127" s="617" t="s">
        <v>860</v>
      </c>
      <c r="C127" s="617"/>
      <c r="E127" s="553">
        <v>49900</v>
      </c>
      <c r="Q127" s="618">
        <v>49900</v>
      </c>
      <c r="R127" s="618"/>
      <c r="T127" s="618">
        <v>49900</v>
      </c>
      <c r="U127" s="618"/>
      <c r="W127" s="618">
        <v>49900</v>
      </c>
      <c r="X127" s="618"/>
    </row>
    <row r="128" spans="2:24">
      <c r="B128" s="617"/>
      <c r="C128" s="617"/>
    </row>
    <row r="129" spans="2:24">
      <c r="B129" s="617"/>
      <c r="C129" s="617"/>
    </row>
    <row r="130" spans="2:24" ht="15">
      <c r="B130" s="617" t="s">
        <v>859</v>
      </c>
      <c r="C130" s="617"/>
      <c r="E130" s="553">
        <v>15327</v>
      </c>
      <c r="G130" s="553">
        <v>15327</v>
      </c>
      <c r="I130" s="553">
        <v>15327</v>
      </c>
    </row>
    <row r="131" spans="2:24">
      <c r="B131" s="617"/>
      <c r="C131" s="617"/>
    </row>
    <row r="132" spans="2:24" ht="15">
      <c r="B132" s="617" t="s">
        <v>858</v>
      </c>
      <c r="C132" s="617"/>
      <c r="E132" s="553">
        <v>26761</v>
      </c>
      <c r="G132" s="553">
        <v>26761</v>
      </c>
      <c r="I132" s="553">
        <v>26761</v>
      </c>
    </row>
    <row r="133" spans="2:24">
      <c r="B133" s="617"/>
      <c r="C133" s="617"/>
    </row>
    <row r="134" spans="2:24">
      <c r="B134" s="617"/>
      <c r="C134" s="617"/>
    </row>
    <row r="135" spans="2:24" ht="15">
      <c r="B135" s="617" t="s">
        <v>857</v>
      </c>
      <c r="C135" s="617"/>
      <c r="E135" s="553">
        <v>74597</v>
      </c>
      <c r="G135" s="553">
        <v>74597</v>
      </c>
      <c r="I135" s="553">
        <v>74597</v>
      </c>
    </row>
    <row r="136" spans="2:24">
      <c r="B136" s="617"/>
      <c r="C136" s="617"/>
    </row>
    <row r="137" spans="2:24" ht="15">
      <c r="B137" s="617" t="s">
        <v>856</v>
      </c>
      <c r="C137" s="617"/>
      <c r="E137" s="553">
        <v>92582</v>
      </c>
      <c r="G137" s="553">
        <v>90914</v>
      </c>
      <c r="I137" s="553">
        <v>92582</v>
      </c>
    </row>
    <row r="138" spans="2:24">
      <c r="B138" s="617"/>
      <c r="C138" s="617"/>
    </row>
    <row r="139" spans="2:24" ht="15">
      <c r="B139" s="617" t="s">
        <v>855</v>
      </c>
      <c r="C139" s="617"/>
      <c r="E139" s="553">
        <v>39000</v>
      </c>
      <c r="G139" s="553">
        <v>39000</v>
      </c>
      <c r="I139" s="553">
        <v>39000</v>
      </c>
    </row>
    <row r="140" spans="2:24">
      <c r="B140" s="617"/>
      <c r="C140" s="617"/>
    </row>
    <row r="141" spans="2:24" ht="15">
      <c r="B141" s="617" t="s">
        <v>854</v>
      </c>
      <c r="C141" s="617"/>
      <c r="E141" s="553">
        <v>9200</v>
      </c>
      <c r="G141" s="553">
        <v>5145</v>
      </c>
      <c r="I141" s="553">
        <v>5145</v>
      </c>
      <c r="Q141" s="618">
        <v>4055</v>
      </c>
      <c r="R141" s="618"/>
      <c r="T141" s="618">
        <v>4055</v>
      </c>
      <c r="U141" s="618"/>
      <c r="W141" s="618">
        <v>4055</v>
      </c>
      <c r="X141" s="618"/>
    </row>
    <row r="142" spans="2:24">
      <c r="B142" s="617"/>
      <c r="C142" s="617"/>
    </row>
    <row r="143" spans="2:24">
      <c r="B143" s="617"/>
      <c r="C143" s="617"/>
    </row>
    <row r="144" spans="2:24" ht="15">
      <c r="B144" s="617" t="s">
        <v>853</v>
      </c>
      <c r="C144" s="617"/>
      <c r="E144" s="553">
        <v>10000</v>
      </c>
      <c r="G144" s="553">
        <v>10000</v>
      </c>
      <c r="I144" s="553">
        <v>10000</v>
      </c>
    </row>
    <row r="145" spans="2:24">
      <c r="B145" s="617"/>
      <c r="C145" s="617"/>
    </row>
    <row r="146" spans="2:24" ht="15">
      <c r="B146" s="617" t="s">
        <v>852</v>
      </c>
      <c r="C146" s="617"/>
      <c r="E146" s="553">
        <v>291240</v>
      </c>
      <c r="G146" s="553">
        <v>290514</v>
      </c>
      <c r="I146" s="553">
        <v>291240</v>
      </c>
      <c r="M146" s="621">
        <v>321</v>
      </c>
      <c r="N146" s="621"/>
      <c r="O146" s="621"/>
      <c r="W146" s="618">
        <v>-321</v>
      </c>
      <c r="X146" s="618"/>
    </row>
    <row r="147" spans="2:24">
      <c r="B147" s="617"/>
      <c r="C147" s="617"/>
    </row>
    <row r="148" spans="2:24" ht="15">
      <c r="B148" s="617" t="s">
        <v>851</v>
      </c>
      <c r="C148" s="617"/>
      <c r="E148" s="553">
        <v>27000</v>
      </c>
      <c r="G148" s="553">
        <v>27000</v>
      </c>
      <c r="I148" s="553">
        <v>27000</v>
      </c>
    </row>
    <row r="149" spans="2:24">
      <c r="B149" s="617"/>
      <c r="C149" s="617"/>
    </row>
    <row r="150" spans="2:24">
      <c r="B150" s="617"/>
      <c r="C150" s="617"/>
    </row>
    <row r="151" spans="2:24" ht="15">
      <c r="B151" s="617" t="s">
        <v>850</v>
      </c>
      <c r="C151" s="617"/>
      <c r="E151" s="553">
        <v>8668575</v>
      </c>
      <c r="G151" s="553">
        <v>6656175</v>
      </c>
      <c r="I151" s="553">
        <v>6656175</v>
      </c>
      <c r="Q151" s="618">
        <v>2012400</v>
      </c>
      <c r="R151" s="618"/>
      <c r="T151" s="618">
        <v>2012400</v>
      </c>
      <c r="U151" s="618"/>
      <c r="W151" s="618">
        <v>2012400</v>
      </c>
      <c r="X151" s="618"/>
    </row>
    <row r="152" spans="2:24">
      <c r="B152" s="617"/>
      <c r="C152" s="617"/>
    </row>
    <row r="153" spans="2:24" ht="15">
      <c r="B153" s="617" t="s">
        <v>849</v>
      </c>
      <c r="C153" s="617"/>
      <c r="E153" s="553">
        <v>40400</v>
      </c>
      <c r="G153" s="553">
        <v>40290</v>
      </c>
      <c r="I153" s="553">
        <v>40400</v>
      </c>
    </row>
    <row r="154" spans="2:24">
      <c r="B154" s="617"/>
      <c r="C154" s="617"/>
    </row>
    <row r="155" spans="2:24" ht="15">
      <c r="B155" s="617" t="s">
        <v>848</v>
      </c>
      <c r="C155" s="617"/>
      <c r="E155" s="553">
        <v>120000</v>
      </c>
      <c r="G155" s="553">
        <v>117368</v>
      </c>
      <c r="I155" s="553">
        <v>120000</v>
      </c>
    </row>
    <row r="156" spans="2:24">
      <c r="B156" s="617"/>
      <c r="C156" s="617"/>
    </row>
    <row r="157" spans="2:24">
      <c r="B157" s="617"/>
      <c r="C157" s="617"/>
    </row>
    <row r="158" spans="2:24" ht="15">
      <c r="B158" s="617" t="s">
        <v>847</v>
      </c>
      <c r="C158" s="617"/>
      <c r="E158" s="553">
        <v>637530</v>
      </c>
      <c r="G158" s="553">
        <v>635280</v>
      </c>
      <c r="I158" s="553">
        <v>637530</v>
      </c>
    </row>
    <row r="159" spans="2:24">
      <c r="B159" s="617"/>
      <c r="C159" s="617"/>
    </row>
    <row r="160" spans="2:24" ht="15">
      <c r="B160" s="617" t="s">
        <v>846</v>
      </c>
      <c r="C160" s="617"/>
      <c r="E160" s="553">
        <v>240411</v>
      </c>
      <c r="G160" s="553">
        <v>238655</v>
      </c>
      <c r="I160" s="553">
        <v>240411</v>
      </c>
    </row>
    <row r="161" spans="2:24">
      <c r="B161" s="617"/>
      <c r="C161" s="617"/>
    </row>
    <row r="162" spans="2:24" ht="15">
      <c r="B162" s="617" t="s">
        <v>845</v>
      </c>
      <c r="C162" s="617"/>
      <c r="E162" s="553">
        <v>1596969</v>
      </c>
      <c r="G162" s="553">
        <v>1571787</v>
      </c>
      <c r="I162" s="553">
        <v>1596969</v>
      </c>
      <c r="M162" s="621">
        <v>84</v>
      </c>
      <c r="N162" s="621"/>
      <c r="O162" s="621"/>
      <c r="W162" s="618">
        <v>-84</v>
      </c>
      <c r="X162" s="618"/>
    </row>
    <row r="163" spans="2:24">
      <c r="B163" s="617"/>
      <c r="C163" s="617"/>
    </row>
    <row r="164" spans="2:24" ht="15">
      <c r="B164" s="617" t="s">
        <v>844</v>
      </c>
      <c r="C164" s="617"/>
      <c r="E164" s="553">
        <v>71350</v>
      </c>
      <c r="G164" s="553">
        <v>70305</v>
      </c>
      <c r="I164" s="553">
        <v>71350</v>
      </c>
    </row>
    <row r="165" spans="2:24">
      <c r="B165" s="617"/>
      <c r="C165" s="617"/>
    </row>
    <row r="166" spans="2:24" ht="15">
      <c r="B166" s="617" t="s">
        <v>843</v>
      </c>
      <c r="C166" s="617"/>
      <c r="E166" s="553">
        <v>308096</v>
      </c>
      <c r="G166" s="553">
        <v>302176</v>
      </c>
      <c r="I166" s="553">
        <v>308096</v>
      </c>
    </row>
    <row r="167" spans="2:24">
      <c r="B167" s="617"/>
      <c r="C167" s="617"/>
    </row>
    <row r="168" spans="2:24" ht="15">
      <c r="B168" s="617" t="s">
        <v>842</v>
      </c>
      <c r="C168" s="617"/>
      <c r="E168" s="553">
        <v>1520898</v>
      </c>
      <c r="G168" s="553">
        <v>893327</v>
      </c>
      <c r="I168" s="553">
        <v>895133</v>
      </c>
      <c r="Q168" s="618">
        <v>625765</v>
      </c>
      <c r="R168" s="618"/>
      <c r="T168" s="618">
        <v>625765</v>
      </c>
      <c r="U168" s="618"/>
      <c r="W168" s="618">
        <v>625765</v>
      </c>
      <c r="X168" s="618"/>
    </row>
    <row r="169" spans="2:24">
      <c r="B169" s="617"/>
      <c r="C169" s="617"/>
    </row>
    <row r="170" spans="2:24" ht="15">
      <c r="B170" s="617" t="s">
        <v>841</v>
      </c>
      <c r="C170" s="617"/>
      <c r="E170" s="553">
        <v>79596</v>
      </c>
      <c r="G170" s="553">
        <v>77952</v>
      </c>
      <c r="I170" s="553">
        <v>79596</v>
      </c>
    </row>
    <row r="171" spans="2:24">
      <c r="B171" s="617"/>
      <c r="C171" s="617"/>
    </row>
    <row r="172" spans="2:24">
      <c r="B172" s="617"/>
      <c r="C172" s="617"/>
    </row>
    <row r="173" spans="2:24" ht="15">
      <c r="B173" s="617" t="s">
        <v>840</v>
      </c>
      <c r="C173" s="617"/>
      <c r="E173" s="553">
        <v>20000</v>
      </c>
      <c r="G173" s="553">
        <v>19662</v>
      </c>
      <c r="I173" s="553">
        <v>20000</v>
      </c>
    </row>
    <row r="174" spans="2:24">
      <c r="B174" s="617"/>
      <c r="C174" s="617"/>
    </row>
    <row r="175" spans="2:24">
      <c r="B175" s="617"/>
      <c r="C175" s="617"/>
    </row>
    <row r="176" spans="2:24" ht="15">
      <c r="B176" s="617" t="s">
        <v>839</v>
      </c>
      <c r="C176" s="617"/>
      <c r="E176" s="553">
        <v>120000</v>
      </c>
      <c r="G176" s="553">
        <v>120000</v>
      </c>
      <c r="I176" s="553">
        <v>120000</v>
      </c>
    </row>
    <row r="177" spans="2:24">
      <c r="B177" s="617"/>
      <c r="C177" s="617"/>
    </row>
    <row r="178" spans="2:24" ht="15">
      <c r="B178" s="617" t="s">
        <v>838</v>
      </c>
      <c r="C178" s="617"/>
      <c r="E178" s="553">
        <v>3213887</v>
      </c>
      <c r="G178" s="553">
        <v>3213570</v>
      </c>
      <c r="I178" s="553">
        <v>3213887</v>
      </c>
    </row>
    <row r="179" spans="2:24">
      <c r="B179" s="617"/>
      <c r="C179" s="617"/>
    </row>
    <row r="180" spans="2:24" ht="15">
      <c r="B180" s="617" t="s">
        <v>837</v>
      </c>
      <c r="C180" s="617"/>
      <c r="E180" s="553">
        <v>73380</v>
      </c>
      <c r="G180" s="553">
        <v>73380</v>
      </c>
      <c r="I180" s="553">
        <v>73380</v>
      </c>
    </row>
    <row r="181" spans="2:24">
      <c r="B181" s="617"/>
      <c r="C181" s="617"/>
    </row>
    <row r="182" spans="2:24" ht="15">
      <c r="B182" s="617" t="s">
        <v>836</v>
      </c>
      <c r="C182" s="617"/>
      <c r="E182" s="553">
        <v>999000</v>
      </c>
      <c r="G182" s="553">
        <v>969030</v>
      </c>
      <c r="I182" s="553">
        <v>999000</v>
      </c>
    </row>
    <row r="183" spans="2:24">
      <c r="B183" s="617"/>
      <c r="C183" s="617"/>
    </row>
    <row r="184" spans="2:24" ht="15">
      <c r="B184" s="617" t="s">
        <v>835</v>
      </c>
      <c r="C184" s="617"/>
      <c r="E184" s="553">
        <v>700522</v>
      </c>
      <c r="G184" s="553">
        <v>697616</v>
      </c>
      <c r="I184" s="553">
        <v>700522</v>
      </c>
    </row>
    <row r="185" spans="2:24">
      <c r="B185" s="617"/>
      <c r="C185" s="617"/>
    </row>
    <row r="186" spans="2:24">
      <c r="B186" s="617"/>
      <c r="C186" s="617"/>
    </row>
    <row r="187" spans="2:24" ht="15">
      <c r="B187" s="617" t="s">
        <v>834</v>
      </c>
      <c r="C187" s="617"/>
      <c r="E187" s="553">
        <v>26080</v>
      </c>
      <c r="G187" s="553">
        <v>26080</v>
      </c>
      <c r="I187" s="553">
        <v>26080</v>
      </c>
    </row>
    <row r="188" spans="2:24">
      <c r="B188" s="617"/>
      <c r="C188" s="617"/>
    </row>
    <row r="189" spans="2:24" ht="15">
      <c r="B189" s="617" t="s">
        <v>833</v>
      </c>
      <c r="C189" s="617"/>
      <c r="E189" s="553">
        <v>3553</v>
      </c>
      <c r="G189" s="553">
        <v>3553</v>
      </c>
      <c r="I189" s="553">
        <v>3553</v>
      </c>
    </row>
    <row r="190" spans="2:24">
      <c r="B190" s="617"/>
      <c r="C190" s="617"/>
    </row>
    <row r="191" spans="2:24" ht="15">
      <c r="B191" s="617" t="s">
        <v>832</v>
      </c>
      <c r="C191" s="617"/>
      <c r="E191" s="553">
        <v>1385309</v>
      </c>
      <c r="G191" s="553">
        <v>667138</v>
      </c>
      <c r="I191" s="553">
        <v>667138</v>
      </c>
      <c r="Q191" s="618">
        <v>718171</v>
      </c>
      <c r="R191" s="618"/>
      <c r="T191" s="618">
        <v>718171</v>
      </c>
      <c r="U191" s="618"/>
      <c r="W191" s="618">
        <v>718171</v>
      </c>
      <c r="X191" s="618"/>
    </row>
    <row r="192" spans="2:24">
      <c r="B192" s="617"/>
      <c r="C192" s="617"/>
    </row>
    <row r="193" spans="2:24">
      <c r="B193" s="617"/>
      <c r="C193" s="617"/>
    </row>
    <row r="194" spans="2:24" ht="15">
      <c r="B194" s="617" t="s">
        <v>831</v>
      </c>
      <c r="C194" s="617"/>
      <c r="E194" s="553">
        <v>135806</v>
      </c>
      <c r="G194" s="553">
        <v>74087</v>
      </c>
      <c r="I194" s="553">
        <v>74087</v>
      </c>
      <c r="Q194" s="618">
        <v>61719</v>
      </c>
      <c r="R194" s="618"/>
      <c r="T194" s="618">
        <v>61719</v>
      </c>
      <c r="U194" s="618"/>
      <c r="W194" s="618">
        <v>61719</v>
      </c>
      <c r="X194" s="618"/>
    </row>
    <row r="195" spans="2:24">
      <c r="B195" s="617"/>
      <c r="C195" s="617"/>
    </row>
    <row r="196" spans="2:24" ht="15">
      <c r="B196" s="617" t="s">
        <v>830</v>
      </c>
      <c r="C196" s="617"/>
      <c r="E196" s="553">
        <v>537919</v>
      </c>
      <c r="G196" s="553">
        <v>536965</v>
      </c>
      <c r="I196" s="553">
        <v>537919</v>
      </c>
    </row>
    <row r="197" spans="2:24">
      <c r="B197" s="617"/>
      <c r="C197" s="617"/>
    </row>
    <row r="198" spans="2:24" ht="15">
      <c r="B198" s="617" t="s">
        <v>829</v>
      </c>
      <c r="C198" s="617"/>
      <c r="E198" s="553">
        <v>1823632</v>
      </c>
      <c r="G198" s="553">
        <v>1156453</v>
      </c>
      <c r="I198" s="553">
        <v>1823632</v>
      </c>
    </row>
    <row r="199" spans="2:24">
      <c r="B199" s="617"/>
      <c r="C199" s="617"/>
    </row>
    <row r="200" spans="2:24" ht="15">
      <c r="B200" s="617" t="s">
        <v>828</v>
      </c>
      <c r="C200" s="617"/>
      <c r="E200" s="553">
        <v>1100000</v>
      </c>
      <c r="G200" s="553">
        <v>1073120</v>
      </c>
      <c r="I200" s="553">
        <v>1100000</v>
      </c>
    </row>
    <row r="201" spans="2:24">
      <c r="B201" s="617"/>
      <c r="C201" s="617"/>
    </row>
    <row r="202" spans="2:24" ht="15">
      <c r="B202" s="617" t="s">
        <v>827</v>
      </c>
      <c r="C202" s="617"/>
      <c r="E202" s="553">
        <v>6000</v>
      </c>
      <c r="G202" s="553">
        <v>6000</v>
      </c>
      <c r="I202" s="553">
        <v>6000</v>
      </c>
    </row>
    <row r="203" spans="2:24">
      <c r="B203" s="617"/>
      <c r="C203" s="617"/>
    </row>
    <row r="204" spans="2:24" ht="15">
      <c r="B204" s="617" t="s">
        <v>826</v>
      </c>
      <c r="C204" s="617"/>
      <c r="E204" s="553">
        <v>925688</v>
      </c>
      <c r="G204" s="553">
        <v>699309</v>
      </c>
      <c r="I204" s="553">
        <v>770538</v>
      </c>
      <c r="Q204" s="618">
        <v>155150</v>
      </c>
      <c r="R204" s="618"/>
      <c r="T204" s="618">
        <v>155150</v>
      </c>
      <c r="U204" s="618"/>
      <c r="W204" s="618">
        <v>155150</v>
      </c>
      <c r="X204" s="618"/>
    </row>
    <row r="205" spans="2:24">
      <c r="B205" s="617"/>
      <c r="C205" s="617"/>
    </row>
    <row r="206" spans="2:24" ht="15">
      <c r="B206" s="617" t="s">
        <v>825</v>
      </c>
      <c r="C206" s="617"/>
      <c r="E206" s="553">
        <v>495963</v>
      </c>
      <c r="G206" s="553">
        <v>87445</v>
      </c>
      <c r="I206" s="553">
        <v>495963</v>
      </c>
    </row>
    <row r="207" spans="2:24">
      <c r="B207" s="617"/>
      <c r="C207" s="617"/>
    </row>
    <row r="208" spans="2:24" ht="15">
      <c r="B208" s="617" t="s">
        <v>824</v>
      </c>
      <c r="C208" s="617"/>
      <c r="E208" s="553">
        <v>460750</v>
      </c>
      <c r="G208" s="553">
        <v>265547</v>
      </c>
      <c r="I208" s="553">
        <v>336582</v>
      </c>
      <c r="Q208" s="618">
        <v>124168</v>
      </c>
      <c r="R208" s="618"/>
      <c r="T208" s="618">
        <v>124168</v>
      </c>
      <c r="U208" s="618"/>
      <c r="W208" s="618">
        <v>124168</v>
      </c>
      <c r="X208" s="618"/>
    </row>
    <row r="209" spans="2:25">
      <c r="B209" s="617"/>
      <c r="C209" s="617"/>
    </row>
    <row r="210" spans="2:25" ht="15">
      <c r="B210" s="617" t="s">
        <v>823</v>
      </c>
      <c r="C210" s="617"/>
      <c r="E210" s="553">
        <v>128887</v>
      </c>
      <c r="G210" s="553">
        <v>23993</v>
      </c>
      <c r="I210" s="553">
        <v>128887</v>
      </c>
    </row>
    <row r="211" spans="2:25">
      <c r="B211" s="617"/>
      <c r="C211" s="617"/>
    </row>
    <row r="212" spans="2:25" ht="15">
      <c r="B212" s="617" t="s">
        <v>822</v>
      </c>
      <c r="C212" s="617"/>
      <c r="E212" s="553">
        <v>360114</v>
      </c>
      <c r="G212" s="553">
        <v>121314</v>
      </c>
      <c r="I212" s="553">
        <v>360114</v>
      </c>
    </row>
    <row r="213" spans="2:25">
      <c r="B213" s="617"/>
      <c r="C213" s="617"/>
    </row>
    <row r="214" spans="2:25" ht="15">
      <c r="B214" s="617" t="s">
        <v>821</v>
      </c>
      <c r="C214" s="617"/>
      <c r="E214" s="553">
        <v>807250</v>
      </c>
      <c r="G214" s="553">
        <v>793373</v>
      </c>
      <c r="I214" s="553">
        <v>807250</v>
      </c>
    </row>
    <row r="215" spans="2:25">
      <c r="B215" s="617"/>
      <c r="C215" s="617"/>
    </row>
    <row r="216" spans="2:25" ht="15">
      <c r="B216" s="617" t="s">
        <v>820</v>
      </c>
      <c r="C216" s="617"/>
      <c r="E216" s="553">
        <v>43716839</v>
      </c>
      <c r="G216" s="553">
        <v>43435503</v>
      </c>
      <c r="I216" s="553">
        <v>43435503</v>
      </c>
      <c r="Q216" s="618">
        <v>281336</v>
      </c>
      <c r="R216" s="618"/>
      <c r="T216" s="618">
        <v>281336</v>
      </c>
      <c r="U216" s="618"/>
      <c r="W216" s="618">
        <v>281336</v>
      </c>
      <c r="X216" s="618"/>
    </row>
    <row r="217" spans="2:25">
      <c r="B217" s="617"/>
      <c r="C217" s="617"/>
    </row>
    <row r="218" spans="2:25" s="570" customFormat="1" ht="15">
      <c r="B218" s="619" t="s">
        <v>819</v>
      </c>
      <c r="C218" s="619"/>
      <c r="E218" s="571">
        <v>124997</v>
      </c>
      <c r="G218" s="571">
        <v>10000</v>
      </c>
      <c r="I218" s="571">
        <v>10000</v>
      </c>
      <c r="Q218" s="620">
        <v>114997</v>
      </c>
      <c r="R218" s="620"/>
      <c r="T218" s="620">
        <v>114997</v>
      </c>
      <c r="U218" s="620"/>
      <c r="W218" s="620">
        <v>114997</v>
      </c>
      <c r="X218" s="620"/>
      <c r="Y218" s="572"/>
    </row>
    <row r="219" spans="2:25" s="570" customFormat="1">
      <c r="B219" s="619"/>
      <c r="C219" s="619"/>
      <c r="Y219" s="572"/>
    </row>
    <row r="220" spans="2:25" s="570" customFormat="1" ht="15">
      <c r="B220" s="619" t="s">
        <v>818</v>
      </c>
      <c r="C220" s="619"/>
      <c r="E220" s="571">
        <v>245277</v>
      </c>
      <c r="Q220" s="620">
        <v>245277</v>
      </c>
      <c r="R220" s="620"/>
      <c r="T220" s="620">
        <v>245277</v>
      </c>
      <c r="U220" s="620"/>
      <c r="W220" s="620">
        <v>245277</v>
      </c>
      <c r="X220" s="620"/>
      <c r="Y220" s="572"/>
    </row>
    <row r="221" spans="2:25" s="570" customFormat="1">
      <c r="B221" s="619"/>
      <c r="C221" s="619"/>
      <c r="Y221" s="572"/>
    </row>
    <row r="222" spans="2:25" s="570" customFormat="1" ht="15">
      <c r="B222" s="619" t="s">
        <v>817</v>
      </c>
      <c r="C222" s="619"/>
      <c r="E222" s="571">
        <v>82114</v>
      </c>
      <c r="G222" s="571">
        <v>4900</v>
      </c>
      <c r="I222" s="571">
        <v>4900</v>
      </c>
      <c r="Q222" s="620">
        <v>77214</v>
      </c>
      <c r="R222" s="620"/>
      <c r="T222" s="620">
        <v>77214</v>
      </c>
      <c r="U222" s="620"/>
      <c r="W222" s="620">
        <v>77214</v>
      </c>
      <c r="X222" s="620"/>
      <c r="Y222" s="572"/>
    </row>
    <row r="223" spans="2:25" s="570" customFormat="1">
      <c r="B223" s="619"/>
      <c r="C223" s="619"/>
      <c r="Y223" s="572"/>
    </row>
    <row r="224" spans="2:25" s="570" customFormat="1" ht="15">
      <c r="B224" s="619" t="s">
        <v>816</v>
      </c>
      <c r="C224" s="619"/>
      <c r="E224" s="571">
        <v>2040</v>
      </c>
      <c r="Q224" s="620">
        <v>2040</v>
      </c>
      <c r="R224" s="620"/>
      <c r="T224" s="620">
        <v>2040</v>
      </c>
      <c r="U224" s="620"/>
      <c r="W224" s="620">
        <v>2040</v>
      </c>
      <c r="X224" s="620"/>
      <c r="Y224" s="572"/>
    </row>
    <row r="225" spans="2:25" s="570" customFormat="1">
      <c r="B225" s="619"/>
      <c r="C225" s="619"/>
      <c r="Y225" s="572"/>
    </row>
    <row r="226" spans="2:25" s="570" customFormat="1" ht="15">
      <c r="B226" s="619" t="s">
        <v>815</v>
      </c>
      <c r="C226" s="619"/>
      <c r="E226" s="571">
        <v>227800</v>
      </c>
      <c r="G226" s="571">
        <v>10100</v>
      </c>
      <c r="I226" s="571">
        <v>10100</v>
      </c>
      <c r="Q226" s="620">
        <v>217700</v>
      </c>
      <c r="R226" s="620"/>
      <c r="T226" s="620">
        <v>217700</v>
      </c>
      <c r="U226" s="620"/>
      <c r="W226" s="620">
        <v>217700</v>
      </c>
      <c r="X226" s="620"/>
      <c r="Y226" s="572"/>
    </row>
    <row r="227" spans="2:25" s="570" customFormat="1">
      <c r="B227" s="619"/>
      <c r="C227" s="619"/>
      <c r="Y227" s="572"/>
    </row>
    <row r="228" spans="2:25" s="570" customFormat="1" ht="15">
      <c r="B228" s="619" t="s">
        <v>814</v>
      </c>
      <c r="C228" s="619"/>
      <c r="E228" s="571">
        <v>50000</v>
      </c>
      <c r="I228" s="571">
        <v>50000</v>
      </c>
      <c r="Y228" s="572"/>
    </row>
    <row r="229" spans="2:25" s="570" customFormat="1">
      <c r="B229" s="619"/>
      <c r="C229" s="619"/>
      <c r="Y229" s="573">
        <f>SUM(Q218:R229)</f>
        <v>657228</v>
      </c>
    </row>
    <row r="230" spans="2:25" ht="15">
      <c r="B230" s="617" t="s">
        <v>813</v>
      </c>
      <c r="C230" s="617"/>
      <c r="E230" s="553">
        <v>60000</v>
      </c>
      <c r="Q230" s="618">
        <v>60000</v>
      </c>
      <c r="R230" s="618"/>
      <c r="T230" s="618">
        <v>60000</v>
      </c>
      <c r="U230" s="618"/>
      <c r="W230" s="618">
        <v>60000</v>
      </c>
      <c r="X230" s="618"/>
    </row>
    <row r="231" spans="2:25">
      <c r="B231" s="617"/>
      <c r="C231" s="617"/>
    </row>
    <row r="232" spans="2:25">
      <c r="B232" s="617"/>
      <c r="C232" s="617"/>
    </row>
    <row r="233" spans="2:25" ht="15">
      <c r="B233" s="617" t="s">
        <v>812</v>
      </c>
      <c r="C233" s="617"/>
      <c r="E233" s="553">
        <v>230000</v>
      </c>
      <c r="Q233" s="618">
        <v>230000</v>
      </c>
      <c r="R233" s="618"/>
      <c r="T233" s="618">
        <v>230000</v>
      </c>
      <c r="U233" s="618"/>
      <c r="W233" s="618">
        <v>230000</v>
      </c>
      <c r="X233" s="618"/>
    </row>
    <row r="234" spans="2:25">
      <c r="B234" s="617"/>
      <c r="C234" s="617"/>
    </row>
    <row r="235" spans="2:25" ht="15">
      <c r="B235" s="617" t="s">
        <v>811</v>
      </c>
      <c r="C235" s="617"/>
      <c r="E235" s="553">
        <v>262135</v>
      </c>
      <c r="Q235" s="618">
        <v>262135</v>
      </c>
      <c r="R235" s="618"/>
      <c r="T235" s="618">
        <v>262135</v>
      </c>
      <c r="U235" s="618"/>
      <c r="W235" s="618">
        <v>262135</v>
      </c>
      <c r="X235" s="618"/>
    </row>
    <row r="236" spans="2:25">
      <c r="B236" s="617"/>
      <c r="C236" s="617"/>
    </row>
    <row r="237" spans="2:25">
      <c r="B237" s="617"/>
      <c r="C237" s="617"/>
    </row>
    <row r="238" spans="2:25" ht="15">
      <c r="B238" s="617" t="s">
        <v>810</v>
      </c>
      <c r="C238" s="617"/>
      <c r="E238" s="553">
        <v>19700</v>
      </c>
      <c r="G238" s="553">
        <v>19700</v>
      </c>
      <c r="I238" s="553">
        <v>19700</v>
      </c>
    </row>
    <row r="239" spans="2:25">
      <c r="B239" s="617"/>
      <c r="C239" s="617"/>
    </row>
    <row r="240" spans="2:25" ht="15">
      <c r="B240" s="617" t="s">
        <v>809</v>
      </c>
      <c r="C240" s="617"/>
      <c r="E240" s="553">
        <v>147915</v>
      </c>
      <c r="G240" s="553">
        <v>147415</v>
      </c>
      <c r="I240" s="553">
        <v>147415</v>
      </c>
      <c r="Q240" s="618">
        <v>500</v>
      </c>
      <c r="R240" s="618"/>
      <c r="T240" s="618">
        <v>500</v>
      </c>
      <c r="U240" s="618"/>
      <c r="W240" s="618">
        <v>500</v>
      </c>
      <c r="X240" s="618"/>
    </row>
    <row r="241" spans="2:24">
      <c r="B241" s="617"/>
      <c r="C241" s="617"/>
    </row>
    <row r="242" spans="2:24" ht="15">
      <c r="B242" s="617" t="s">
        <v>808</v>
      </c>
      <c r="C242" s="617"/>
      <c r="E242" s="553">
        <v>36111</v>
      </c>
      <c r="G242" s="553">
        <v>36111</v>
      </c>
      <c r="I242" s="553">
        <v>36111</v>
      </c>
    </row>
    <row r="243" spans="2:24">
      <c r="B243" s="617"/>
      <c r="C243" s="617"/>
    </row>
    <row r="244" spans="2:24" ht="15">
      <c r="B244" s="617" t="s">
        <v>807</v>
      </c>
      <c r="C244" s="617"/>
      <c r="E244" s="553">
        <v>200</v>
      </c>
      <c r="G244" s="553">
        <v>200</v>
      </c>
      <c r="I244" s="553">
        <v>200</v>
      </c>
    </row>
    <row r="245" spans="2:24">
      <c r="B245" s="617"/>
      <c r="C245" s="617"/>
    </row>
    <row r="246" spans="2:24" ht="15">
      <c r="B246" s="617" t="s">
        <v>806</v>
      </c>
      <c r="C246" s="617"/>
      <c r="E246" s="553">
        <v>66600</v>
      </c>
      <c r="G246" s="553">
        <v>66600</v>
      </c>
      <c r="I246" s="553">
        <v>66600</v>
      </c>
    </row>
    <row r="247" spans="2:24">
      <c r="B247" s="617"/>
      <c r="C247" s="617"/>
    </row>
    <row r="248" spans="2:24" ht="15">
      <c r="B248" s="617" t="s">
        <v>805</v>
      </c>
      <c r="C248" s="617"/>
      <c r="E248" s="553">
        <v>6818</v>
      </c>
      <c r="G248" s="553">
        <v>6818</v>
      </c>
      <c r="I248" s="553">
        <v>6818</v>
      </c>
    </row>
    <row r="249" spans="2:24">
      <c r="B249" s="617"/>
      <c r="C249" s="617"/>
    </row>
    <row r="250" spans="2:24" ht="15">
      <c r="B250" s="617" t="s">
        <v>804</v>
      </c>
      <c r="C250" s="617"/>
      <c r="E250" s="553">
        <v>8500</v>
      </c>
      <c r="G250" s="553">
        <v>8500</v>
      </c>
      <c r="I250" s="553">
        <v>8500</v>
      </c>
    </row>
    <row r="251" spans="2:24">
      <c r="B251" s="617"/>
      <c r="C251" s="617"/>
    </row>
    <row r="252" spans="2:24" ht="15">
      <c r="B252" s="617" t="s">
        <v>803</v>
      </c>
      <c r="C252" s="617"/>
      <c r="E252" s="553">
        <v>50000</v>
      </c>
      <c r="Q252" s="618">
        <v>50000</v>
      </c>
      <c r="R252" s="618"/>
      <c r="T252" s="618">
        <v>50000</v>
      </c>
      <c r="U252" s="618"/>
      <c r="W252" s="618">
        <v>50000</v>
      </c>
      <c r="X252" s="618"/>
    </row>
    <row r="253" spans="2:24">
      <c r="B253" s="617"/>
      <c r="C253" s="617"/>
    </row>
    <row r="254" spans="2:24" ht="15">
      <c r="B254" s="617" t="s">
        <v>802</v>
      </c>
      <c r="C254" s="617"/>
      <c r="E254" s="553">
        <v>69240</v>
      </c>
      <c r="G254" s="553">
        <v>61266</v>
      </c>
      <c r="I254" s="553">
        <v>69240</v>
      </c>
    </row>
    <row r="255" spans="2:24">
      <c r="B255" s="617"/>
      <c r="C255" s="617"/>
    </row>
    <row r="256" spans="2:24" ht="15">
      <c r="B256" s="617" t="s">
        <v>801</v>
      </c>
      <c r="C256" s="617"/>
      <c r="E256" s="553">
        <v>309745</v>
      </c>
      <c r="G256" s="553">
        <v>309690</v>
      </c>
      <c r="I256" s="553">
        <v>309690</v>
      </c>
      <c r="Q256" s="618">
        <v>55</v>
      </c>
      <c r="R256" s="618"/>
      <c r="T256" s="618">
        <v>55</v>
      </c>
      <c r="U256" s="618"/>
      <c r="W256" s="618">
        <v>55</v>
      </c>
      <c r="X256" s="618"/>
    </row>
    <row r="257" spans="2:9">
      <c r="B257" s="617"/>
      <c r="C257" s="617"/>
    </row>
    <row r="258" spans="2:9" ht="15">
      <c r="B258" s="617" t="s">
        <v>800</v>
      </c>
      <c r="C258" s="617"/>
      <c r="E258" s="553">
        <v>34485</v>
      </c>
      <c r="G258" s="553">
        <v>34485</v>
      </c>
      <c r="I258" s="553">
        <v>34485</v>
      </c>
    </row>
    <row r="259" spans="2:9">
      <c r="B259" s="617"/>
      <c r="C259" s="617"/>
    </row>
    <row r="260" spans="2:9" ht="15">
      <c r="B260" s="617" t="s">
        <v>799</v>
      </c>
      <c r="C260" s="617"/>
      <c r="E260" s="553">
        <v>69615</v>
      </c>
      <c r="G260" s="553">
        <v>69615</v>
      </c>
      <c r="I260" s="553">
        <v>69615</v>
      </c>
    </row>
    <row r="261" spans="2:9">
      <c r="B261" s="617"/>
      <c r="C261" s="617"/>
    </row>
    <row r="262" spans="2:9" ht="15">
      <c r="B262" s="617" t="s">
        <v>798</v>
      </c>
      <c r="C262" s="617"/>
      <c r="E262" s="553">
        <v>15000</v>
      </c>
      <c r="G262" s="553">
        <v>15000</v>
      </c>
      <c r="I262" s="553">
        <v>15000</v>
      </c>
    </row>
    <row r="263" spans="2:9">
      <c r="B263" s="617"/>
      <c r="C263" s="617"/>
    </row>
    <row r="264" spans="2:9">
      <c r="B264" s="617"/>
      <c r="C264" s="617"/>
    </row>
    <row r="265" spans="2:9" ht="15">
      <c r="B265" s="617" t="s">
        <v>797</v>
      </c>
      <c r="C265" s="617"/>
      <c r="E265" s="553">
        <v>99900</v>
      </c>
      <c r="G265" s="553">
        <v>99900</v>
      </c>
      <c r="I265" s="553">
        <v>99900</v>
      </c>
    </row>
    <row r="266" spans="2:9">
      <c r="B266" s="617"/>
      <c r="C266" s="617"/>
    </row>
    <row r="267" spans="2:9">
      <c r="B267" s="617"/>
      <c r="C267" s="617"/>
    </row>
    <row r="268" spans="2:9" ht="15">
      <c r="B268" s="617" t="s">
        <v>796</v>
      </c>
      <c r="C268" s="617"/>
      <c r="E268" s="553">
        <v>250000</v>
      </c>
      <c r="G268" s="553">
        <v>170000</v>
      </c>
      <c r="I268" s="553">
        <v>250000</v>
      </c>
    </row>
    <row r="269" spans="2:9">
      <c r="B269" s="617"/>
      <c r="C269" s="617"/>
    </row>
    <row r="270" spans="2:9">
      <c r="B270" s="617"/>
      <c r="C270" s="617"/>
    </row>
    <row r="271" spans="2:9" ht="15">
      <c r="B271" s="617" t="s">
        <v>795</v>
      </c>
      <c r="C271" s="617"/>
      <c r="E271" s="553">
        <v>62600</v>
      </c>
      <c r="G271" s="553">
        <v>62600</v>
      </c>
      <c r="I271" s="553">
        <v>62600</v>
      </c>
    </row>
    <row r="272" spans="2:9">
      <c r="B272" s="617"/>
      <c r="C272" s="617"/>
    </row>
    <row r="273" spans="2:24">
      <c r="B273" s="617"/>
      <c r="C273" s="617"/>
    </row>
    <row r="274" spans="2:24" ht="15">
      <c r="B274" s="617" t="s">
        <v>794</v>
      </c>
      <c r="C274" s="617"/>
      <c r="E274" s="553">
        <v>27000</v>
      </c>
      <c r="G274" s="553">
        <v>27000</v>
      </c>
      <c r="I274" s="553">
        <v>27000</v>
      </c>
    </row>
    <row r="275" spans="2:24">
      <c r="B275" s="617"/>
      <c r="C275" s="617"/>
    </row>
    <row r="276" spans="2:24">
      <c r="B276" s="617"/>
      <c r="C276" s="617"/>
    </row>
    <row r="277" spans="2:24" ht="15">
      <c r="B277" s="617" t="s">
        <v>793</v>
      </c>
      <c r="C277" s="617"/>
      <c r="E277" s="553">
        <v>22300</v>
      </c>
      <c r="G277" s="553">
        <v>22300</v>
      </c>
      <c r="I277" s="553">
        <v>22300</v>
      </c>
    </row>
    <row r="278" spans="2:24">
      <c r="B278" s="617"/>
      <c r="C278" s="617"/>
    </row>
    <row r="279" spans="2:24" ht="15">
      <c r="B279" s="617" t="s">
        <v>792</v>
      </c>
      <c r="C279" s="617"/>
      <c r="E279" s="553">
        <v>109480</v>
      </c>
      <c r="Q279" s="618">
        <v>109480</v>
      </c>
      <c r="R279" s="618"/>
      <c r="T279" s="618">
        <v>109480</v>
      </c>
      <c r="U279" s="618"/>
      <c r="W279" s="618">
        <v>109480</v>
      </c>
      <c r="X279" s="618"/>
    </row>
    <row r="280" spans="2:24">
      <c r="B280" s="617"/>
      <c r="C280" s="617"/>
    </row>
    <row r="281" spans="2:24">
      <c r="B281" s="617"/>
      <c r="C281" s="617"/>
    </row>
    <row r="282" spans="2:24" ht="15">
      <c r="B282" s="617" t="s">
        <v>791</v>
      </c>
      <c r="C282" s="617"/>
      <c r="E282" s="553">
        <v>34300</v>
      </c>
      <c r="G282" s="553">
        <v>24010</v>
      </c>
      <c r="I282" s="553">
        <v>34300</v>
      </c>
    </row>
    <row r="283" spans="2:24">
      <c r="B283" s="617"/>
      <c r="C283" s="617"/>
    </row>
    <row r="284" spans="2:24">
      <c r="B284" s="617"/>
      <c r="C284" s="617"/>
    </row>
    <row r="285" spans="2:24" ht="15">
      <c r="B285" s="617" t="s">
        <v>790</v>
      </c>
      <c r="C285" s="617"/>
      <c r="E285" s="553">
        <v>1260</v>
      </c>
      <c r="Q285" s="618">
        <v>1260</v>
      </c>
      <c r="R285" s="618"/>
      <c r="T285" s="618">
        <v>1260</v>
      </c>
      <c r="U285" s="618"/>
      <c r="W285" s="618">
        <v>1260</v>
      </c>
      <c r="X285" s="618"/>
    </row>
    <row r="286" spans="2:24">
      <c r="B286" s="617"/>
      <c r="C286" s="617"/>
    </row>
    <row r="287" spans="2:24">
      <c r="B287" s="617"/>
      <c r="C287" s="617"/>
    </row>
    <row r="288" spans="2:24" ht="15">
      <c r="B288" s="617" t="s">
        <v>789</v>
      </c>
      <c r="C288" s="617"/>
      <c r="E288" s="553">
        <v>77760</v>
      </c>
      <c r="Q288" s="618">
        <v>77760</v>
      </c>
      <c r="R288" s="618"/>
      <c r="T288" s="618">
        <v>77760</v>
      </c>
      <c r="U288" s="618"/>
      <c r="W288" s="618">
        <v>77760</v>
      </c>
      <c r="X288" s="618"/>
    </row>
    <row r="289" spans="2:24">
      <c r="B289" s="617"/>
      <c r="C289" s="617"/>
    </row>
    <row r="290" spans="2:24">
      <c r="B290" s="617"/>
      <c r="C290" s="617"/>
    </row>
    <row r="291" spans="2:24" ht="15">
      <c r="B291" s="617" t="s">
        <v>788</v>
      </c>
      <c r="C291" s="617"/>
      <c r="E291" s="553">
        <v>8400</v>
      </c>
      <c r="Q291" s="618">
        <v>8400</v>
      </c>
      <c r="R291" s="618"/>
      <c r="T291" s="618">
        <v>8400</v>
      </c>
      <c r="U291" s="618"/>
      <c r="W291" s="618">
        <v>8400</v>
      </c>
      <c r="X291" s="618"/>
    </row>
    <row r="292" spans="2:24">
      <c r="B292" s="617"/>
      <c r="C292" s="617"/>
    </row>
    <row r="293" spans="2:24" ht="15">
      <c r="B293" s="617" t="s">
        <v>787</v>
      </c>
      <c r="C293" s="617"/>
      <c r="E293" s="553">
        <v>6624</v>
      </c>
      <c r="G293" s="553">
        <v>6624</v>
      </c>
      <c r="I293" s="553">
        <v>6624</v>
      </c>
    </row>
    <row r="294" spans="2:24">
      <c r="B294" s="617"/>
      <c r="C294" s="617"/>
    </row>
    <row r="295" spans="2:24">
      <c r="B295" s="617"/>
      <c r="C295" s="617"/>
    </row>
    <row r="296" spans="2:24" ht="15">
      <c r="B296" s="617" t="s">
        <v>786</v>
      </c>
      <c r="C296" s="617"/>
      <c r="E296" s="553">
        <v>7165</v>
      </c>
      <c r="Q296" s="618">
        <v>7165</v>
      </c>
      <c r="R296" s="618"/>
      <c r="T296" s="618">
        <v>7165</v>
      </c>
      <c r="U296" s="618"/>
      <c r="W296" s="618">
        <v>7165</v>
      </c>
      <c r="X296" s="618"/>
    </row>
    <row r="297" spans="2:24">
      <c r="B297" s="617"/>
      <c r="C297" s="617"/>
    </row>
    <row r="298" spans="2:24">
      <c r="B298" s="617"/>
      <c r="C298" s="617"/>
    </row>
    <row r="299" spans="2:24" ht="15">
      <c r="B299" s="617" t="s">
        <v>785</v>
      </c>
      <c r="C299" s="617"/>
      <c r="E299" s="553">
        <v>50000</v>
      </c>
      <c r="G299" s="553">
        <v>50000</v>
      </c>
      <c r="I299" s="553">
        <v>50000</v>
      </c>
    </row>
    <row r="300" spans="2:24">
      <c r="B300" s="617"/>
      <c r="C300" s="617"/>
    </row>
    <row r="301" spans="2:24" ht="15">
      <c r="B301" s="617" t="s">
        <v>784</v>
      </c>
      <c r="C301" s="617"/>
      <c r="E301" s="553">
        <v>8000</v>
      </c>
      <c r="G301" s="553">
        <v>8000</v>
      </c>
      <c r="I301" s="553">
        <v>8000</v>
      </c>
    </row>
    <row r="302" spans="2:24">
      <c r="B302" s="617"/>
      <c r="C302" s="617"/>
    </row>
    <row r="303" spans="2:24">
      <c r="B303" s="617"/>
      <c r="C303" s="617"/>
    </row>
    <row r="304" spans="2:24" ht="15">
      <c r="B304" s="617" t="s">
        <v>783</v>
      </c>
      <c r="C304" s="617"/>
      <c r="E304" s="553">
        <v>47865</v>
      </c>
      <c r="Q304" s="618">
        <v>47865</v>
      </c>
      <c r="R304" s="618"/>
      <c r="T304" s="618">
        <v>47865</v>
      </c>
      <c r="U304" s="618"/>
      <c r="W304" s="618">
        <v>47865</v>
      </c>
      <c r="X304" s="618"/>
    </row>
    <row r="305" spans="2:24">
      <c r="B305" s="617"/>
      <c r="C305" s="617"/>
    </row>
    <row r="306" spans="2:24">
      <c r="B306" s="617"/>
      <c r="C306" s="617"/>
    </row>
    <row r="307" spans="2:24" ht="15">
      <c r="B307" s="617" t="s">
        <v>782</v>
      </c>
      <c r="C307" s="617"/>
      <c r="E307" s="553">
        <v>123920</v>
      </c>
      <c r="Q307" s="618">
        <v>123920</v>
      </c>
      <c r="R307" s="618"/>
      <c r="T307" s="618">
        <v>123920</v>
      </c>
      <c r="U307" s="618"/>
      <c r="W307" s="618">
        <v>123920</v>
      </c>
      <c r="X307" s="618"/>
    </row>
    <row r="308" spans="2:24">
      <c r="B308" s="617"/>
      <c r="C308" s="617"/>
    </row>
    <row r="309" spans="2:24">
      <c r="B309" s="617"/>
      <c r="C309" s="617"/>
    </row>
    <row r="310" spans="2:24" ht="15">
      <c r="B310" s="617" t="s">
        <v>781</v>
      </c>
      <c r="C310" s="617"/>
      <c r="E310" s="553">
        <v>5000</v>
      </c>
      <c r="Q310" s="618">
        <v>5000</v>
      </c>
      <c r="R310" s="618"/>
      <c r="T310" s="618">
        <v>5000</v>
      </c>
      <c r="U310" s="618"/>
      <c r="W310" s="618">
        <v>5000</v>
      </c>
      <c r="X310" s="618"/>
    </row>
    <row r="311" spans="2:24">
      <c r="B311" s="617"/>
      <c r="C311" s="617"/>
    </row>
    <row r="312" spans="2:24">
      <c r="B312" s="617"/>
      <c r="C312" s="617"/>
    </row>
    <row r="313" spans="2:24" ht="15">
      <c r="B313" s="617" t="s">
        <v>780</v>
      </c>
      <c r="C313" s="617"/>
      <c r="E313" s="553">
        <v>9800</v>
      </c>
      <c r="Q313" s="618">
        <v>9800</v>
      </c>
      <c r="R313" s="618"/>
      <c r="T313" s="618">
        <v>9800</v>
      </c>
      <c r="U313" s="618"/>
      <c r="W313" s="618">
        <v>9800</v>
      </c>
      <c r="X313" s="618"/>
    </row>
    <row r="314" spans="2:24">
      <c r="B314" s="617"/>
      <c r="C314" s="617"/>
    </row>
    <row r="315" spans="2:24">
      <c r="B315" s="617"/>
      <c r="C315" s="617"/>
    </row>
    <row r="316" spans="2:24" ht="15">
      <c r="B316" s="617" t="s">
        <v>779</v>
      </c>
      <c r="C316" s="617"/>
      <c r="E316" s="553">
        <v>10000</v>
      </c>
      <c r="Q316" s="618">
        <v>10000</v>
      </c>
      <c r="R316" s="618"/>
      <c r="T316" s="618">
        <v>10000</v>
      </c>
      <c r="U316" s="618"/>
      <c r="W316" s="618">
        <v>10000</v>
      </c>
      <c r="X316" s="618"/>
    </row>
    <row r="317" spans="2:24">
      <c r="B317" s="617"/>
      <c r="C317" s="617"/>
    </row>
    <row r="318" spans="2:24">
      <c r="B318" s="617"/>
      <c r="C318" s="617"/>
    </row>
    <row r="319" spans="2:24" ht="15">
      <c r="B319" s="617" t="s">
        <v>778</v>
      </c>
      <c r="C319" s="617"/>
      <c r="E319" s="553">
        <v>26880</v>
      </c>
      <c r="Q319" s="618">
        <v>26880</v>
      </c>
      <c r="R319" s="618"/>
      <c r="T319" s="618">
        <v>26880</v>
      </c>
      <c r="U319" s="618"/>
      <c r="W319" s="618">
        <v>26880</v>
      </c>
      <c r="X319" s="618"/>
    </row>
    <row r="320" spans="2:24">
      <c r="B320" s="617"/>
      <c r="C320" s="617"/>
    </row>
    <row r="321" spans="2:24">
      <c r="B321" s="617"/>
      <c r="C321" s="617"/>
    </row>
    <row r="322" spans="2:24" ht="15">
      <c r="B322" s="617" t="s">
        <v>777</v>
      </c>
      <c r="C322" s="617"/>
      <c r="E322" s="553">
        <v>5000</v>
      </c>
      <c r="Q322" s="618">
        <v>5000</v>
      </c>
      <c r="R322" s="618"/>
      <c r="T322" s="618">
        <v>5000</v>
      </c>
      <c r="U322" s="618"/>
      <c r="W322" s="618">
        <v>5000</v>
      </c>
      <c r="X322" s="618"/>
    </row>
    <row r="323" spans="2:24">
      <c r="B323" s="617"/>
      <c r="C323" s="617"/>
    </row>
    <row r="324" spans="2:24">
      <c r="B324" s="617"/>
      <c r="C324" s="617"/>
    </row>
    <row r="325" spans="2:24" ht="15">
      <c r="B325" s="617" t="s">
        <v>776</v>
      </c>
      <c r="C325" s="617"/>
      <c r="E325" s="553">
        <v>36000</v>
      </c>
      <c r="G325" s="553">
        <v>36000</v>
      </c>
      <c r="I325" s="553">
        <v>36000</v>
      </c>
    </row>
    <row r="326" spans="2:24">
      <c r="B326" s="617"/>
      <c r="C326" s="617"/>
    </row>
    <row r="327" spans="2:24">
      <c r="B327" s="617"/>
      <c r="C327" s="617"/>
    </row>
    <row r="328" spans="2:24" ht="15">
      <c r="B328" s="617" t="s">
        <v>775</v>
      </c>
      <c r="C328" s="617"/>
      <c r="E328" s="553">
        <v>4000</v>
      </c>
      <c r="Q328" s="618">
        <v>4000</v>
      </c>
      <c r="R328" s="618"/>
      <c r="T328" s="618">
        <v>4000</v>
      </c>
      <c r="U328" s="618"/>
      <c r="W328" s="618">
        <v>4000</v>
      </c>
      <c r="X328" s="618"/>
    </row>
    <row r="329" spans="2:24">
      <c r="B329" s="617"/>
      <c r="C329" s="617"/>
    </row>
    <row r="330" spans="2:24">
      <c r="B330" s="617"/>
      <c r="C330" s="617"/>
    </row>
    <row r="331" spans="2:24" ht="15">
      <c r="B331" s="617" t="s">
        <v>774</v>
      </c>
      <c r="C331" s="617"/>
      <c r="E331" s="553">
        <v>240000</v>
      </c>
      <c r="Q331" s="618">
        <v>240000</v>
      </c>
      <c r="R331" s="618"/>
      <c r="T331" s="618">
        <v>240000</v>
      </c>
      <c r="U331" s="618"/>
      <c r="W331" s="618">
        <v>240000</v>
      </c>
      <c r="X331" s="618"/>
    </row>
    <row r="332" spans="2:24">
      <c r="B332" s="617"/>
      <c r="C332" s="617"/>
    </row>
    <row r="333" spans="2:24">
      <c r="B333" s="617"/>
      <c r="C333" s="617"/>
    </row>
    <row r="334" spans="2:24" ht="15">
      <c r="B334" s="617" t="s">
        <v>773</v>
      </c>
      <c r="C334" s="617"/>
      <c r="E334" s="553">
        <v>5000</v>
      </c>
      <c r="Q334" s="618">
        <v>5000</v>
      </c>
      <c r="R334" s="618"/>
      <c r="T334" s="618">
        <v>5000</v>
      </c>
      <c r="U334" s="618"/>
      <c r="W334" s="618">
        <v>5000</v>
      </c>
      <c r="X334" s="618"/>
    </row>
    <row r="335" spans="2:24">
      <c r="B335" s="617"/>
      <c r="C335" s="617"/>
    </row>
    <row r="336" spans="2:24">
      <c r="B336" s="617"/>
      <c r="C336" s="617"/>
    </row>
    <row r="337" spans="2:24" ht="15">
      <c r="B337" s="617" t="s">
        <v>772</v>
      </c>
      <c r="C337" s="617"/>
      <c r="E337" s="553">
        <v>20885</v>
      </c>
      <c r="Q337" s="618">
        <v>20885</v>
      </c>
      <c r="R337" s="618"/>
      <c r="T337" s="618">
        <v>20885</v>
      </c>
      <c r="U337" s="618"/>
      <c r="W337" s="618">
        <v>20885</v>
      </c>
      <c r="X337" s="618"/>
    </row>
    <row r="338" spans="2:24">
      <c r="B338" s="617"/>
      <c r="C338" s="617"/>
    </row>
    <row r="339" spans="2:24" ht="15">
      <c r="B339" s="617" t="s">
        <v>771</v>
      </c>
      <c r="C339" s="617"/>
      <c r="E339" s="553">
        <v>13000</v>
      </c>
      <c r="G339" s="553">
        <v>13000</v>
      </c>
      <c r="I339" s="553">
        <v>13000</v>
      </c>
    </row>
    <row r="340" spans="2:24">
      <c r="B340" s="617"/>
      <c r="C340" s="617"/>
    </row>
    <row r="341" spans="2:24">
      <c r="B341" s="617"/>
      <c r="C341" s="617"/>
    </row>
    <row r="342" spans="2:24" ht="15">
      <c r="B342" s="617" t="s">
        <v>770</v>
      </c>
      <c r="C342" s="617"/>
      <c r="E342" s="553">
        <v>5000</v>
      </c>
      <c r="I342" s="553">
        <v>5000</v>
      </c>
    </row>
    <row r="343" spans="2:24">
      <c r="B343" s="617"/>
      <c r="C343" s="617"/>
    </row>
    <row r="344" spans="2:24">
      <c r="B344" s="617"/>
      <c r="C344" s="617"/>
    </row>
    <row r="345" spans="2:24" ht="15">
      <c r="B345" s="617" t="s">
        <v>769</v>
      </c>
      <c r="C345" s="617"/>
      <c r="E345" s="553">
        <v>93600</v>
      </c>
      <c r="Q345" s="618">
        <v>93600</v>
      </c>
      <c r="R345" s="618"/>
      <c r="T345" s="618">
        <v>93600</v>
      </c>
      <c r="U345" s="618"/>
      <c r="W345" s="618">
        <v>93600</v>
      </c>
      <c r="X345" s="618"/>
    </row>
    <row r="346" spans="2:24">
      <c r="B346" s="617"/>
      <c r="C346" s="617"/>
    </row>
    <row r="347" spans="2:24">
      <c r="B347" s="617"/>
      <c r="C347" s="617"/>
    </row>
    <row r="348" spans="2:24" ht="15">
      <c r="B348" s="617" t="s">
        <v>768</v>
      </c>
      <c r="C348" s="617"/>
      <c r="E348" s="553">
        <v>10000</v>
      </c>
      <c r="Q348" s="618">
        <v>10000</v>
      </c>
      <c r="R348" s="618"/>
      <c r="T348" s="618">
        <v>10000</v>
      </c>
      <c r="U348" s="618"/>
      <c r="W348" s="618">
        <v>10000</v>
      </c>
      <c r="X348" s="618"/>
    </row>
    <row r="349" spans="2:24">
      <c r="B349" s="617"/>
      <c r="C349" s="617"/>
    </row>
    <row r="350" spans="2:24">
      <c r="B350" s="617"/>
      <c r="C350" s="617"/>
    </row>
    <row r="351" spans="2:24" ht="15">
      <c r="B351" s="617" t="s">
        <v>767</v>
      </c>
      <c r="C351" s="617"/>
      <c r="E351" s="553">
        <v>20560</v>
      </c>
      <c r="G351" s="553">
        <v>20560</v>
      </c>
      <c r="I351" s="553">
        <v>20560</v>
      </c>
    </row>
    <row r="352" spans="2:24">
      <c r="B352" s="617"/>
      <c r="C352" s="617"/>
    </row>
    <row r="353" spans="2:24">
      <c r="B353" s="617"/>
      <c r="C353" s="617"/>
    </row>
    <row r="354" spans="2:24" ht="15">
      <c r="B354" s="617" t="s">
        <v>766</v>
      </c>
      <c r="C354" s="617"/>
      <c r="E354" s="553">
        <v>30960</v>
      </c>
      <c r="G354" s="553">
        <v>21858</v>
      </c>
      <c r="I354" s="553">
        <v>21858</v>
      </c>
      <c r="Q354" s="618">
        <v>9102</v>
      </c>
      <c r="R354" s="618"/>
      <c r="T354" s="618">
        <v>9102</v>
      </c>
      <c r="U354" s="618"/>
      <c r="W354" s="618">
        <v>9102</v>
      </c>
      <c r="X354" s="618"/>
    </row>
    <row r="355" spans="2:24">
      <c r="B355" s="617"/>
      <c r="C355" s="617"/>
    </row>
    <row r="356" spans="2:24">
      <c r="B356" s="617"/>
      <c r="C356" s="617"/>
    </row>
    <row r="357" spans="2:24" ht="15">
      <c r="B357" s="617" t="s">
        <v>765</v>
      </c>
      <c r="C357" s="617"/>
      <c r="E357" s="553">
        <v>39332</v>
      </c>
      <c r="Q357" s="618">
        <v>39332</v>
      </c>
      <c r="R357" s="618"/>
      <c r="T357" s="618">
        <v>39332</v>
      </c>
      <c r="U357" s="618"/>
      <c r="W357" s="618">
        <v>39332</v>
      </c>
      <c r="X357" s="618"/>
    </row>
    <row r="358" spans="2:24">
      <c r="B358" s="617"/>
      <c r="C358" s="617"/>
    </row>
    <row r="359" spans="2:24">
      <c r="B359" s="617"/>
      <c r="C359" s="617"/>
    </row>
    <row r="360" spans="2:24" ht="15">
      <c r="B360" s="617" t="s">
        <v>764</v>
      </c>
      <c r="C360" s="617"/>
      <c r="E360" s="553">
        <v>2468</v>
      </c>
      <c r="Q360" s="618">
        <v>2468</v>
      </c>
      <c r="R360" s="618"/>
      <c r="T360" s="618">
        <v>2468</v>
      </c>
      <c r="U360" s="618"/>
      <c r="W360" s="618">
        <v>2468</v>
      </c>
      <c r="X360" s="618"/>
    </row>
    <row r="361" spans="2:24">
      <c r="B361" s="617"/>
      <c r="C361" s="617"/>
    </row>
    <row r="362" spans="2:24">
      <c r="B362" s="617"/>
      <c r="C362" s="617"/>
    </row>
    <row r="363" spans="2:24" ht="15">
      <c r="B363" s="617" t="s">
        <v>763</v>
      </c>
      <c r="C363" s="617"/>
      <c r="E363" s="553">
        <v>80000</v>
      </c>
      <c r="Q363" s="618">
        <v>80000</v>
      </c>
      <c r="R363" s="618"/>
      <c r="T363" s="618">
        <v>80000</v>
      </c>
      <c r="U363" s="618"/>
      <c r="W363" s="618">
        <v>80000</v>
      </c>
      <c r="X363" s="618"/>
    </row>
    <row r="364" spans="2:24">
      <c r="B364" s="617"/>
      <c r="C364" s="617"/>
    </row>
    <row r="365" spans="2:24">
      <c r="B365" s="617"/>
      <c r="C365" s="617"/>
    </row>
    <row r="366" spans="2:24" ht="15">
      <c r="B366" s="617" t="s">
        <v>762</v>
      </c>
      <c r="C366" s="617"/>
      <c r="E366" s="553">
        <v>2230</v>
      </c>
      <c r="Q366" s="618">
        <v>2230</v>
      </c>
      <c r="R366" s="618"/>
      <c r="T366" s="618">
        <v>2230</v>
      </c>
      <c r="U366" s="618"/>
      <c r="W366" s="618">
        <v>2230</v>
      </c>
      <c r="X366" s="618"/>
    </row>
    <row r="367" spans="2:24">
      <c r="B367" s="617"/>
      <c r="C367" s="617"/>
    </row>
    <row r="368" spans="2:24">
      <c r="B368" s="617"/>
      <c r="C368" s="617"/>
    </row>
    <row r="369" spans="2:24" ht="15">
      <c r="B369" s="617" t="s">
        <v>761</v>
      </c>
      <c r="C369" s="617"/>
      <c r="E369" s="553">
        <v>29970</v>
      </c>
      <c r="Q369" s="618">
        <v>29970</v>
      </c>
      <c r="R369" s="618"/>
      <c r="T369" s="618">
        <v>29970</v>
      </c>
      <c r="U369" s="618"/>
      <c r="W369" s="618">
        <v>29970</v>
      </c>
      <c r="X369" s="618"/>
    </row>
    <row r="370" spans="2:24">
      <c r="B370" s="617"/>
      <c r="C370" s="617"/>
    </row>
    <row r="371" spans="2:24">
      <c r="B371" s="617"/>
      <c r="C371" s="617"/>
    </row>
    <row r="372" spans="2:24" ht="15">
      <c r="B372" s="617" t="s">
        <v>760</v>
      </c>
      <c r="C372" s="617"/>
      <c r="E372" s="553">
        <v>5000</v>
      </c>
      <c r="G372" s="553">
        <v>5000</v>
      </c>
      <c r="I372" s="553">
        <v>5000</v>
      </c>
    </row>
    <row r="373" spans="2:24">
      <c r="B373" s="617"/>
      <c r="C373" s="617"/>
    </row>
    <row r="374" spans="2:24">
      <c r="B374" s="617"/>
      <c r="C374" s="617"/>
    </row>
    <row r="375" spans="2:24" ht="15">
      <c r="B375" s="617" t="s">
        <v>759</v>
      </c>
      <c r="C375" s="617"/>
      <c r="E375" s="553">
        <v>10290</v>
      </c>
      <c r="Q375" s="618">
        <v>10290</v>
      </c>
      <c r="R375" s="618"/>
      <c r="T375" s="618">
        <v>10290</v>
      </c>
      <c r="U375" s="618"/>
      <c r="W375" s="618">
        <v>10290</v>
      </c>
      <c r="X375" s="618"/>
    </row>
    <row r="376" spans="2:24">
      <c r="B376" s="617"/>
      <c r="C376" s="617"/>
    </row>
    <row r="377" spans="2:24">
      <c r="B377" s="617"/>
      <c r="C377" s="617"/>
    </row>
    <row r="378" spans="2:24" ht="15">
      <c r="B378" s="552" t="s">
        <v>758</v>
      </c>
      <c r="E378" s="551">
        <v>112199323</v>
      </c>
      <c r="G378" s="551">
        <v>99651549</v>
      </c>
      <c r="I378" s="551">
        <v>101623998</v>
      </c>
      <c r="M378" s="616">
        <v>726</v>
      </c>
      <c r="N378" s="616"/>
      <c r="O378" s="616"/>
      <c r="Q378" s="616">
        <v>10575325</v>
      </c>
      <c r="R378" s="616"/>
      <c r="T378" s="616">
        <v>10575325</v>
      </c>
      <c r="U378" s="616"/>
      <c r="W378" s="616">
        <v>10574599</v>
      </c>
      <c r="X378" s="616"/>
    </row>
  </sheetData>
  <mergeCells count="384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Q11:R11"/>
    <mergeCell ref="T11:U11"/>
    <mergeCell ref="W11:X11"/>
    <mergeCell ref="B13:C14"/>
    <mergeCell ref="Q13:R13"/>
    <mergeCell ref="T13:U13"/>
    <mergeCell ref="W13:X13"/>
    <mergeCell ref="B15:C16"/>
    <mergeCell ref="B17:C18"/>
    <mergeCell ref="B19:C20"/>
    <mergeCell ref="Q19:R19"/>
    <mergeCell ref="T19:U19"/>
    <mergeCell ref="W19:X19"/>
    <mergeCell ref="B21:C22"/>
    <mergeCell ref="Q21:R21"/>
    <mergeCell ref="T21:U21"/>
    <mergeCell ref="W21:X21"/>
    <mergeCell ref="B23:C24"/>
    <mergeCell ref="B25:C26"/>
    <mergeCell ref="B27:C28"/>
    <mergeCell ref="B29:C30"/>
    <mergeCell ref="Q29:R29"/>
    <mergeCell ref="T29:U29"/>
    <mergeCell ref="W29:X29"/>
    <mergeCell ref="B31:C32"/>
    <mergeCell ref="Q31:R31"/>
    <mergeCell ref="T31:U31"/>
    <mergeCell ref="W31:X31"/>
    <mergeCell ref="B33:C34"/>
    <mergeCell ref="Q33:R33"/>
    <mergeCell ref="T33:U33"/>
    <mergeCell ref="W33:X33"/>
    <mergeCell ref="B35:C36"/>
    <mergeCell ref="Q35:R35"/>
    <mergeCell ref="T35:U35"/>
    <mergeCell ref="W35:X35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Q45:R45"/>
    <mergeCell ref="T45:U45"/>
    <mergeCell ref="W45:X45"/>
    <mergeCell ref="B47:C48"/>
    <mergeCell ref="B49:C50"/>
    <mergeCell ref="M49:O49"/>
    <mergeCell ref="Q49:R49"/>
    <mergeCell ref="T49:U49"/>
    <mergeCell ref="W49:X49"/>
    <mergeCell ref="B51:C52"/>
    <mergeCell ref="Q51:R51"/>
    <mergeCell ref="T51:U51"/>
    <mergeCell ref="W51:X51"/>
    <mergeCell ref="B53:C54"/>
    <mergeCell ref="Q53:R53"/>
    <mergeCell ref="T53:U53"/>
    <mergeCell ref="W53:X53"/>
    <mergeCell ref="B55:C56"/>
    <mergeCell ref="Q55:R55"/>
    <mergeCell ref="T55:U55"/>
    <mergeCell ref="W55:X55"/>
    <mergeCell ref="B57:C58"/>
    <mergeCell ref="Q57:R57"/>
    <mergeCell ref="T57:U57"/>
    <mergeCell ref="W57:X57"/>
    <mergeCell ref="B59:C60"/>
    <mergeCell ref="B61:C62"/>
    <mergeCell ref="B63:C64"/>
    <mergeCell ref="Q63:R63"/>
    <mergeCell ref="T63:U63"/>
    <mergeCell ref="W63:X63"/>
    <mergeCell ref="B65:C66"/>
    <mergeCell ref="B67:C68"/>
    <mergeCell ref="B69:C70"/>
    <mergeCell ref="B71:C72"/>
    <mergeCell ref="B73:C74"/>
    <mergeCell ref="B75:C76"/>
    <mergeCell ref="B77:C78"/>
    <mergeCell ref="B79:C80"/>
    <mergeCell ref="B81:C82"/>
    <mergeCell ref="B83:C84"/>
    <mergeCell ref="B85:C86"/>
    <mergeCell ref="B87:C88"/>
    <mergeCell ref="B89:C90"/>
    <mergeCell ref="B91:C92"/>
    <mergeCell ref="B93:C94"/>
    <mergeCell ref="Q93:R93"/>
    <mergeCell ref="T93:U93"/>
    <mergeCell ref="W93:X93"/>
    <mergeCell ref="B95:C96"/>
    <mergeCell ref="B97:C98"/>
    <mergeCell ref="B99:C100"/>
    <mergeCell ref="B101:C103"/>
    <mergeCell ref="Q101:R101"/>
    <mergeCell ref="T101:U101"/>
    <mergeCell ref="W101:X101"/>
    <mergeCell ref="B104:C105"/>
    <mergeCell ref="B106:C107"/>
    <mergeCell ref="Q106:R106"/>
    <mergeCell ref="T106:U106"/>
    <mergeCell ref="W106:X106"/>
    <mergeCell ref="B108:C109"/>
    <mergeCell ref="Q108:R108"/>
    <mergeCell ref="T108:U108"/>
    <mergeCell ref="W108:X108"/>
    <mergeCell ref="B110:C111"/>
    <mergeCell ref="B112:C114"/>
    <mergeCell ref="B115:C116"/>
    <mergeCell ref="B117:C118"/>
    <mergeCell ref="B119:C121"/>
    <mergeCell ref="B122:C123"/>
    <mergeCell ref="B124:C126"/>
    <mergeCell ref="B127:C129"/>
    <mergeCell ref="Q127:R127"/>
    <mergeCell ref="T127:U127"/>
    <mergeCell ref="W127:X127"/>
    <mergeCell ref="B130:C131"/>
    <mergeCell ref="B132:C134"/>
    <mergeCell ref="B135:C136"/>
    <mergeCell ref="B137:C138"/>
    <mergeCell ref="B139:C140"/>
    <mergeCell ref="B141:C143"/>
    <mergeCell ref="Q141:R141"/>
    <mergeCell ref="T141:U141"/>
    <mergeCell ref="W141:X141"/>
    <mergeCell ref="B144:C145"/>
    <mergeCell ref="B146:C147"/>
    <mergeCell ref="M146:O146"/>
    <mergeCell ref="W146:X146"/>
    <mergeCell ref="B148:C150"/>
    <mergeCell ref="B151:C152"/>
    <mergeCell ref="Q151:R151"/>
    <mergeCell ref="T151:U151"/>
    <mergeCell ref="W151:X151"/>
    <mergeCell ref="B153:C154"/>
    <mergeCell ref="B155:C157"/>
    <mergeCell ref="B158:C159"/>
    <mergeCell ref="B160:C161"/>
    <mergeCell ref="B162:C163"/>
    <mergeCell ref="M162:O162"/>
    <mergeCell ref="W162:X162"/>
    <mergeCell ref="B164:C165"/>
    <mergeCell ref="B166:C167"/>
    <mergeCell ref="B168:C169"/>
    <mergeCell ref="Q168:R168"/>
    <mergeCell ref="T168:U168"/>
    <mergeCell ref="W168:X168"/>
    <mergeCell ref="B170:C172"/>
    <mergeCell ref="B173:C175"/>
    <mergeCell ref="B176:C177"/>
    <mergeCell ref="B178:C179"/>
    <mergeCell ref="B180:C181"/>
    <mergeCell ref="B182:C183"/>
    <mergeCell ref="B184:C186"/>
    <mergeCell ref="B187:C188"/>
    <mergeCell ref="B189:C190"/>
    <mergeCell ref="B191:C193"/>
    <mergeCell ref="Q191:R191"/>
    <mergeCell ref="T191:U191"/>
    <mergeCell ref="W191:X191"/>
    <mergeCell ref="B194:C195"/>
    <mergeCell ref="Q194:R194"/>
    <mergeCell ref="T194:U194"/>
    <mergeCell ref="W194:X194"/>
    <mergeCell ref="B196:C197"/>
    <mergeCell ref="B198:C199"/>
    <mergeCell ref="B200:C201"/>
    <mergeCell ref="B202:C203"/>
    <mergeCell ref="B204:C205"/>
    <mergeCell ref="Q204:R204"/>
    <mergeCell ref="T204:U204"/>
    <mergeCell ref="W204:X204"/>
    <mergeCell ref="B206:C207"/>
    <mergeCell ref="B208:C209"/>
    <mergeCell ref="Q208:R208"/>
    <mergeCell ref="T208:U208"/>
    <mergeCell ref="W208:X208"/>
    <mergeCell ref="B210:C211"/>
    <mergeCell ref="B212:C213"/>
    <mergeCell ref="B214:C215"/>
    <mergeCell ref="B216:C217"/>
    <mergeCell ref="Q216:R216"/>
    <mergeCell ref="T216:U216"/>
    <mergeCell ref="W216:X216"/>
    <mergeCell ref="B218:C219"/>
    <mergeCell ref="Q218:R218"/>
    <mergeCell ref="T218:U218"/>
    <mergeCell ref="W218:X218"/>
    <mergeCell ref="B220:C221"/>
    <mergeCell ref="Q220:R220"/>
    <mergeCell ref="T220:U220"/>
    <mergeCell ref="W220:X220"/>
    <mergeCell ref="B222:C223"/>
    <mergeCell ref="Q222:R222"/>
    <mergeCell ref="T222:U222"/>
    <mergeCell ref="W222:X222"/>
    <mergeCell ref="B224:C225"/>
    <mergeCell ref="Q224:R224"/>
    <mergeCell ref="T224:U224"/>
    <mergeCell ref="W224:X224"/>
    <mergeCell ref="B226:C227"/>
    <mergeCell ref="Q226:R226"/>
    <mergeCell ref="T226:U226"/>
    <mergeCell ref="W226:X226"/>
    <mergeCell ref="B228:C229"/>
    <mergeCell ref="B230:C232"/>
    <mergeCell ref="Q230:R230"/>
    <mergeCell ref="T230:U230"/>
    <mergeCell ref="W230:X230"/>
    <mergeCell ref="B233:C234"/>
    <mergeCell ref="Q233:R233"/>
    <mergeCell ref="T233:U233"/>
    <mergeCell ref="W233:X233"/>
    <mergeCell ref="B235:C237"/>
    <mergeCell ref="Q235:R235"/>
    <mergeCell ref="T235:U235"/>
    <mergeCell ref="W235:X235"/>
    <mergeCell ref="B238:C239"/>
    <mergeCell ref="B240:C241"/>
    <mergeCell ref="Q240:R240"/>
    <mergeCell ref="T240:U240"/>
    <mergeCell ref="W240:X240"/>
    <mergeCell ref="B242:C243"/>
    <mergeCell ref="B244:C245"/>
    <mergeCell ref="B246:C247"/>
    <mergeCell ref="B248:C249"/>
    <mergeCell ref="B250:C251"/>
    <mergeCell ref="B252:C253"/>
    <mergeCell ref="Q252:R252"/>
    <mergeCell ref="T252:U252"/>
    <mergeCell ref="W252:X252"/>
    <mergeCell ref="B254:C255"/>
    <mergeCell ref="B256:C257"/>
    <mergeCell ref="Q256:R256"/>
    <mergeCell ref="T256:U256"/>
    <mergeCell ref="W256:X256"/>
    <mergeCell ref="B258:C259"/>
    <mergeCell ref="B260:C261"/>
    <mergeCell ref="B262:C264"/>
    <mergeCell ref="B265:C267"/>
    <mergeCell ref="B268:C270"/>
    <mergeCell ref="B271:C273"/>
    <mergeCell ref="B274:C276"/>
    <mergeCell ref="B277:C278"/>
    <mergeCell ref="B279:C281"/>
    <mergeCell ref="Q279:R279"/>
    <mergeCell ref="T279:U279"/>
    <mergeCell ref="W279:X279"/>
    <mergeCell ref="B282:C284"/>
    <mergeCell ref="B285:C287"/>
    <mergeCell ref="Q285:R285"/>
    <mergeCell ref="T285:U285"/>
    <mergeCell ref="W285:X285"/>
    <mergeCell ref="B288:C290"/>
    <mergeCell ref="Q288:R288"/>
    <mergeCell ref="T288:U288"/>
    <mergeCell ref="W288:X288"/>
    <mergeCell ref="B291:C292"/>
    <mergeCell ref="Q291:R291"/>
    <mergeCell ref="T291:U291"/>
    <mergeCell ref="W291:X291"/>
    <mergeCell ref="B293:C295"/>
    <mergeCell ref="B296:C298"/>
    <mergeCell ref="Q296:R296"/>
    <mergeCell ref="T296:U296"/>
    <mergeCell ref="W296:X296"/>
    <mergeCell ref="B299:C300"/>
    <mergeCell ref="B301:C303"/>
    <mergeCell ref="B304:C306"/>
    <mergeCell ref="Q304:R304"/>
    <mergeCell ref="T304:U304"/>
    <mergeCell ref="W304:X304"/>
    <mergeCell ref="B307:C309"/>
    <mergeCell ref="Q307:R307"/>
    <mergeCell ref="T307:U307"/>
    <mergeCell ref="W307:X307"/>
    <mergeCell ref="B310:C312"/>
    <mergeCell ref="Q310:R310"/>
    <mergeCell ref="T310:U310"/>
    <mergeCell ref="W310:X310"/>
    <mergeCell ref="B313:C315"/>
    <mergeCell ref="Q313:R313"/>
    <mergeCell ref="T313:U313"/>
    <mergeCell ref="W313:X313"/>
    <mergeCell ref="B316:C318"/>
    <mergeCell ref="Q316:R316"/>
    <mergeCell ref="T316:U316"/>
    <mergeCell ref="W316:X316"/>
    <mergeCell ref="B319:C321"/>
    <mergeCell ref="Q319:R319"/>
    <mergeCell ref="T319:U319"/>
    <mergeCell ref="W319:X319"/>
    <mergeCell ref="B322:C324"/>
    <mergeCell ref="Q322:R322"/>
    <mergeCell ref="T322:U322"/>
    <mergeCell ref="W322:X322"/>
    <mergeCell ref="B325:C327"/>
    <mergeCell ref="B328:C330"/>
    <mergeCell ref="Q328:R328"/>
    <mergeCell ref="T328:U328"/>
    <mergeCell ref="W328:X328"/>
    <mergeCell ref="B331:C333"/>
    <mergeCell ref="Q331:R331"/>
    <mergeCell ref="T331:U331"/>
    <mergeCell ref="W331:X331"/>
    <mergeCell ref="B334:C336"/>
    <mergeCell ref="Q334:R334"/>
    <mergeCell ref="T334:U334"/>
    <mergeCell ref="W334:X334"/>
    <mergeCell ref="B337:C338"/>
    <mergeCell ref="Q337:R337"/>
    <mergeCell ref="T337:U337"/>
    <mergeCell ref="W337:X337"/>
    <mergeCell ref="B339:C341"/>
    <mergeCell ref="B342:C344"/>
    <mergeCell ref="B345:C347"/>
    <mergeCell ref="Q345:R345"/>
    <mergeCell ref="T345:U345"/>
    <mergeCell ref="W345:X345"/>
    <mergeCell ref="B348:C350"/>
    <mergeCell ref="Q348:R348"/>
    <mergeCell ref="T348:U348"/>
    <mergeCell ref="W348:X348"/>
    <mergeCell ref="B351:C353"/>
    <mergeCell ref="B354:C356"/>
    <mergeCell ref="Q354:R354"/>
    <mergeCell ref="T354:U354"/>
    <mergeCell ref="W354:X354"/>
    <mergeCell ref="B363:C365"/>
    <mergeCell ref="Q363:R363"/>
    <mergeCell ref="T363:U363"/>
    <mergeCell ref="W363:X363"/>
    <mergeCell ref="B366:C368"/>
    <mergeCell ref="Q366:R366"/>
    <mergeCell ref="T366:U366"/>
    <mergeCell ref="W366:X366"/>
    <mergeCell ref="B357:C359"/>
    <mergeCell ref="Q357:R357"/>
    <mergeCell ref="T357:U357"/>
    <mergeCell ref="W357:X357"/>
    <mergeCell ref="B360:C362"/>
    <mergeCell ref="Q360:R360"/>
    <mergeCell ref="T360:U360"/>
    <mergeCell ref="W360:X360"/>
    <mergeCell ref="M378:O378"/>
    <mergeCell ref="Q378:R378"/>
    <mergeCell ref="T378:U378"/>
    <mergeCell ref="W378:X378"/>
    <mergeCell ref="B369:C371"/>
    <mergeCell ref="Q369:R369"/>
    <mergeCell ref="T369:U369"/>
    <mergeCell ref="W369:X369"/>
    <mergeCell ref="B372:C374"/>
    <mergeCell ref="B375:C377"/>
    <mergeCell ref="Q375:R375"/>
    <mergeCell ref="T375:U375"/>
    <mergeCell ref="W375:X375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0E0F7-6545-46F5-83DB-97C161D5BCE1}">
  <sheetPr>
    <outlinePr summaryBelow="0"/>
    <pageSetUpPr autoPageBreaks="0"/>
  </sheetPr>
  <dimension ref="A1:AK113"/>
  <sheetViews>
    <sheetView showGridLines="0" workbookViewId="0">
      <pane ySplit="15" topLeftCell="A75" activePane="bottomLeft" state="frozen"/>
      <selection pane="bottomLeft" activeCell="AJ101" sqref="AJ101"/>
    </sheetView>
  </sheetViews>
  <sheetFormatPr defaultRowHeight="12.75" customHeight="1"/>
  <cols>
    <col min="1" max="1" width="2.28515625" style="579" customWidth="1"/>
    <col min="2" max="2" width="1.85546875" style="579" customWidth="1"/>
    <col min="3" max="3" width="18.7109375" style="579" customWidth="1"/>
    <col min="4" max="4" width="2" style="579" customWidth="1"/>
    <col min="5" max="5" width="9.42578125" style="579" customWidth="1"/>
    <col min="6" max="6" width="1.85546875" style="579" customWidth="1"/>
    <col min="7" max="7" width="1.28515625" style="579" customWidth="1"/>
    <col min="8" max="8" width="1.42578125" style="579" customWidth="1"/>
    <col min="9" max="9" width="10.28515625" style="579" customWidth="1"/>
    <col min="10" max="10" width="2" style="579" customWidth="1"/>
    <col min="11" max="11" width="1.42578125" style="579" customWidth="1"/>
    <col min="12" max="12" width="8.5703125" style="579" customWidth="1"/>
    <col min="13" max="14" width="1.28515625" style="579" customWidth="1"/>
    <col min="15" max="15" width="1.42578125" style="579" customWidth="1"/>
    <col min="16" max="16" width="8" style="579" customWidth="1"/>
    <col min="17" max="17" width="1" style="579" customWidth="1"/>
    <col min="18" max="18" width="1.7109375" style="579" customWidth="1"/>
    <col min="19" max="19" width="1.85546875" style="579" customWidth="1"/>
    <col min="20" max="20" width="8" style="579" customWidth="1"/>
    <col min="21" max="21" width="1.5703125" style="579" customWidth="1"/>
    <col min="22" max="22" width="1.85546875" style="579" customWidth="1"/>
    <col min="23" max="23" width="1.140625" style="579" customWidth="1"/>
    <col min="24" max="24" width="8" style="579" customWidth="1"/>
    <col min="25" max="25" width="1.5703125" style="579" customWidth="1"/>
    <col min="26" max="26" width="1.85546875" style="579" customWidth="1"/>
    <col min="27" max="27" width="8" style="579" customWidth="1"/>
    <col min="28" max="28" width="4.140625" style="579" customWidth="1"/>
    <col min="29" max="29" width="2.7109375" style="579" customWidth="1"/>
    <col min="30" max="30" width="12.5703125" style="579" customWidth="1"/>
    <col min="31" max="31" width="1" style="579" customWidth="1"/>
    <col min="32" max="32" width="1.140625" style="579" customWidth="1"/>
    <col min="33" max="33" width="2.85546875" style="579" customWidth="1"/>
    <col min="34" max="34" width="9.85546875" style="579" customWidth="1"/>
    <col min="35" max="35" width="11.140625" style="460" bestFit="1" customWidth="1"/>
    <col min="36" max="36" width="11" style="460" bestFit="1" customWidth="1"/>
    <col min="37" max="37" width="13.5703125" style="579" customWidth="1"/>
    <col min="38" max="256" width="6.85546875" style="579" customWidth="1"/>
    <col min="257" max="16384" width="9.140625" style="579"/>
  </cols>
  <sheetData>
    <row r="1" spans="1:36" ht="6" customHeight="1"/>
    <row r="2" spans="1:36" ht="18.75" customHeight="1">
      <c r="AB2" s="630" t="s">
        <v>929</v>
      </c>
      <c r="AC2" s="630"/>
      <c r="AD2" s="630"/>
      <c r="AE2" s="630"/>
      <c r="AF2" s="630"/>
      <c r="AG2" s="630"/>
    </row>
    <row r="3" spans="1:36" ht="24" customHeight="1">
      <c r="A3" s="631" t="s">
        <v>928</v>
      </c>
      <c r="B3" s="631"/>
      <c r="C3" s="631"/>
      <c r="D3" s="631"/>
      <c r="E3" s="631"/>
      <c r="F3" s="631"/>
      <c r="G3" s="631"/>
      <c r="H3" s="631"/>
      <c r="I3" s="631"/>
      <c r="J3" s="631"/>
      <c r="K3" s="631"/>
      <c r="L3" s="631"/>
      <c r="M3" s="631"/>
      <c r="N3" s="631"/>
      <c r="O3" s="631"/>
      <c r="P3" s="631"/>
      <c r="Q3" s="631"/>
      <c r="R3" s="631"/>
      <c r="S3" s="631"/>
      <c r="T3" s="631"/>
      <c r="U3" s="631"/>
      <c r="V3" s="631"/>
      <c r="W3" s="631"/>
      <c r="X3" s="631"/>
      <c r="Y3" s="631"/>
      <c r="Z3" s="631"/>
      <c r="AA3" s="631"/>
      <c r="AB3" s="631"/>
      <c r="AC3" s="631"/>
      <c r="AD3" s="631"/>
      <c r="AE3" s="631"/>
      <c r="AF3" s="631"/>
      <c r="AG3" s="631"/>
    </row>
    <row r="4" spans="1:36" ht="24" customHeight="1">
      <c r="A4" s="631" t="s">
        <v>1009</v>
      </c>
      <c r="B4" s="631"/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  <c r="Q4" s="631"/>
      <c r="R4" s="631"/>
      <c r="S4" s="631"/>
      <c r="T4" s="631"/>
      <c r="U4" s="631"/>
      <c r="V4" s="631"/>
      <c r="W4" s="631"/>
      <c r="X4" s="631"/>
      <c r="Y4" s="631"/>
      <c r="Z4" s="631"/>
      <c r="AA4" s="631"/>
      <c r="AB4" s="631"/>
      <c r="AC4" s="631"/>
      <c r="AD4" s="631"/>
      <c r="AE4" s="631"/>
      <c r="AF4" s="631"/>
      <c r="AG4" s="631"/>
    </row>
    <row r="5" spans="1:36" ht="24" customHeight="1">
      <c r="A5" s="631" t="s">
        <v>1008</v>
      </c>
      <c r="B5" s="631"/>
      <c r="C5" s="631"/>
      <c r="D5" s="631"/>
      <c r="E5" s="631"/>
      <c r="F5" s="631"/>
      <c r="G5" s="631"/>
      <c r="H5" s="631"/>
      <c r="I5" s="631"/>
      <c r="J5" s="631"/>
      <c r="K5" s="631"/>
      <c r="L5" s="631"/>
      <c r="M5" s="631"/>
      <c r="N5" s="631"/>
      <c r="O5" s="631"/>
      <c r="P5" s="631"/>
      <c r="Q5" s="631"/>
      <c r="R5" s="631"/>
      <c r="S5" s="631"/>
      <c r="T5" s="631"/>
      <c r="U5" s="631"/>
      <c r="V5" s="631"/>
      <c r="W5" s="631"/>
      <c r="X5" s="631"/>
      <c r="Y5" s="631"/>
      <c r="Z5" s="631"/>
      <c r="AA5" s="631"/>
      <c r="AB5" s="631"/>
      <c r="AC5" s="631"/>
      <c r="AD5" s="631"/>
      <c r="AE5" s="631"/>
      <c r="AF5" s="631"/>
      <c r="AG5" s="631"/>
    </row>
    <row r="6" spans="1:36" ht="20.25" customHeight="1"/>
    <row r="7" spans="1:36" ht="12" customHeight="1">
      <c r="AA7" s="632" t="s">
        <v>1007</v>
      </c>
      <c r="AB7" s="632"/>
      <c r="AD7" s="632" t="s">
        <v>1006</v>
      </c>
      <c r="AG7" s="632" t="s">
        <v>1005</v>
      </c>
      <c r="AH7" s="632"/>
    </row>
    <row r="8" spans="1:36" ht="6.75" customHeight="1">
      <c r="E8" s="632" t="s">
        <v>1004</v>
      </c>
      <c r="I8" s="632" t="s">
        <v>1003</v>
      </c>
      <c r="L8" s="632" t="s">
        <v>1002</v>
      </c>
      <c r="P8" s="632" t="s">
        <v>922</v>
      </c>
      <c r="T8" s="632" t="s">
        <v>921</v>
      </c>
      <c r="X8" s="632" t="s">
        <v>920</v>
      </c>
      <c r="AA8" s="632"/>
      <c r="AB8" s="632"/>
      <c r="AD8" s="632"/>
      <c r="AG8" s="632"/>
      <c r="AH8" s="632"/>
    </row>
    <row r="9" spans="1:36" ht="5.25" customHeight="1">
      <c r="A9" s="632" t="s">
        <v>925</v>
      </c>
      <c r="B9" s="632"/>
      <c r="C9" s="632"/>
      <c r="E9" s="632"/>
      <c r="I9" s="632"/>
      <c r="L9" s="632"/>
      <c r="P9" s="632"/>
      <c r="T9" s="632"/>
      <c r="X9" s="632"/>
      <c r="AA9" s="632"/>
      <c r="AB9" s="632"/>
      <c r="AD9" s="632"/>
      <c r="AG9" s="632"/>
      <c r="AH9" s="632"/>
    </row>
    <row r="10" spans="1:36" ht="9.75" customHeight="1">
      <c r="A10" s="632"/>
      <c r="B10" s="632"/>
      <c r="C10" s="632"/>
      <c r="E10" s="632"/>
      <c r="I10" s="632"/>
      <c r="L10" s="632"/>
      <c r="P10" s="632"/>
      <c r="T10" s="632"/>
      <c r="X10" s="632"/>
      <c r="AA10" s="632"/>
      <c r="AB10" s="632"/>
      <c r="AD10" s="632"/>
      <c r="AG10" s="632"/>
      <c r="AH10" s="632"/>
    </row>
    <row r="11" spans="1:36" ht="6.75" customHeight="1">
      <c r="A11" s="632"/>
      <c r="B11" s="632"/>
      <c r="C11" s="632"/>
      <c r="E11" s="632"/>
      <c r="I11" s="632"/>
      <c r="P11" s="632"/>
      <c r="X11" s="632"/>
      <c r="AA11" s="632"/>
      <c r="AB11" s="632"/>
      <c r="AD11" s="632"/>
    </row>
    <row r="12" spans="1:36" ht="6.75" customHeight="1">
      <c r="P12" s="632"/>
      <c r="X12" s="632"/>
    </row>
    <row r="13" spans="1:36" ht="13.5" customHeight="1">
      <c r="A13" s="633" t="s">
        <v>1001</v>
      </c>
      <c r="B13" s="633"/>
      <c r="C13" s="633"/>
      <c r="E13" s="616">
        <v>138421000</v>
      </c>
      <c r="F13" s="616"/>
      <c r="G13" s="616"/>
      <c r="H13" s="616">
        <v>128086000</v>
      </c>
      <c r="I13" s="616"/>
      <c r="K13" s="616">
        <v>119412348</v>
      </c>
      <c r="L13" s="616"/>
      <c r="M13" s="616"/>
      <c r="O13" s="616">
        <v>118761710</v>
      </c>
      <c r="P13" s="616"/>
      <c r="Q13" s="616"/>
      <c r="S13" s="616">
        <v>265674</v>
      </c>
      <c r="T13" s="616"/>
      <c r="U13" s="616"/>
      <c r="W13" s="616">
        <v>118863</v>
      </c>
      <c r="X13" s="616"/>
      <c r="Y13" s="616"/>
      <c r="AA13" s="616">
        <v>19659290</v>
      </c>
      <c r="AB13" s="616"/>
      <c r="AD13" s="616">
        <v>19393616</v>
      </c>
      <c r="AE13" s="616"/>
      <c r="AG13" s="616">
        <v>19274753</v>
      </c>
      <c r="AH13" s="616"/>
    </row>
    <row r="14" spans="1:36" ht="13.5" customHeight="1">
      <c r="B14" s="633" t="s">
        <v>1000</v>
      </c>
      <c r="C14" s="633"/>
      <c r="E14" s="616">
        <v>138221000</v>
      </c>
      <c r="F14" s="616"/>
      <c r="G14" s="616"/>
      <c r="H14" s="616">
        <v>127886000</v>
      </c>
      <c r="I14" s="616"/>
      <c r="K14" s="616">
        <v>119269368</v>
      </c>
      <c r="L14" s="616"/>
      <c r="M14" s="616"/>
      <c r="O14" s="616">
        <v>118618730</v>
      </c>
      <c r="P14" s="616"/>
      <c r="Q14" s="616"/>
      <c r="S14" s="616">
        <v>265674</v>
      </c>
      <c r="T14" s="616"/>
      <c r="U14" s="616"/>
      <c r="W14" s="616">
        <v>118863</v>
      </c>
      <c r="X14" s="616"/>
      <c r="Y14" s="616"/>
      <c r="AA14" s="616">
        <v>19602270</v>
      </c>
      <c r="AB14" s="616"/>
      <c r="AD14" s="616">
        <v>19336596</v>
      </c>
      <c r="AE14" s="616"/>
      <c r="AG14" s="616">
        <v>19217733</v>
      </c>
      <c r="AH14" s="616"/>
    </row>
    <row r="15" spans="1:36" ht="13.5" customHeight="1">
      <c r="B15" s="633" t="s">
        <v>999</v>
      </c>
      <c r="C15" s="633"/>
      <c r="E15" s="616">
        <v>138221000</v>
      </c>
      <c r="F15" s="616"/>
      <c r="G15" s="616"/>
      <c r="H15" s="616">
        <v>127886000</v>
      </c>
      <c r="I15" s="616"/>
      <c r="K15" s="616">
        <v>119269368</v>
      </c>
      <c r="L15" s="616"/>
      <c r="M15" s="616"/>
      <c r="O15" s="616">
        <v>118618730</v>
      </c>
      <c r="P15" s="616"/>
      <c r="Q15" s="616"/>
      <c r="S15" s="616">
        <v>265674</v>
      </c>
      <c r="T15" s="616"/>
      <c r="U15" s="616"/>
      <c r="W15" s="616">
        <v>118863</v>
      </c>
      <c r="X15" s="616"/>
      <c r="Y15" s="616"/>
      <c r="AA15" s="616">
        <v>19602270</v>
      </c>
      <c r="AB15" s="616"/>
      <c r="AD15" s="616">
        <v>19336596</v>
      </c>
      <c r="AE15" s="616"/>
      <c r="AG15" s="616">
        <v>19217733</v>
      </c>
      <c r="AH15" s="616"/>
      <c r="AI15" s="581" t="s">
        <v>1010</v>
      </c>
      <c r="AJ15" s="581" t="s">
        <v>1011</v>
      </c>
    </row>
    <row r="16" spans="1:36" ht="13.5" customHeight="1">
      <c r="C16" s="580" t="s">
        <v>998</v>
      </c>
      <c r="E16" s="618">
        <v>89581000</v>
      </c>
      <c r="F16" s="618"/>
      <c r="G16" s="618"/>
      <c r="K16" s="618">
        <v>74972163</v>
      </c>
      <c r="L16" s="618"/>
      <c r="M16" s="618"/>
      <c r="O16" s="618">
        <v>74793216</v>
      </c>
      <c r="P16" s="618"/>
      <c r="Q16" s="618"/>
      <c r="S16" s="618">
        <v>53994</v>
      </c>
      <c r="T16" s="618"/>
      <c r="U16" s="618"/>
      <c r="W16" s="618">
        <v>0</v>
      </c>
      <c r="X16" s="618"/>
      <c r="Y16" s="618"/>
      <c r="AA16" s="618">
        <v>14787784</v>
      </c>
      <c r="AB16" s="618"/>
      <c r="AD16" s="618">
        <v>14733790</v>
      </c>
      <c r="AE16" s="618"/>
      <c r="AG16" s="618">
        <v>14733790</v>
      </c>
      <c r="AH16" s="618"/>
    </row>
    <row r="17" spans="3:34" ht="5.25" customHeight="1"/>
    <row r="18" spans="3:34" ht="13.5" customHeight="1">
      <c r="C18" s="580" t="s">
        <v>997</v>
      </c>
      <c r="E18" s="618">
        <v>828000</v>
      </c>
      <c r="F18" s="618"/>
      <c r="G18" s="618"/>
      <c r="K18" s="618">
        <v>735400</v>
      </c>
      <c r="L18" s="618"/>
      <c r="M18" s="618"/>
      <c r="O18" s="618">
        <v>735400</v>
      </c>
      <c r="P18" s="618"/>
      <c r="Q18" s="618"/>
      <c r="W18" s="618">
        <v>0</v>
      </c>
      <c r="X18" s="618"/>
      <c r="Y18" s="618"/>
      <c r="AA18" s="618">
        <v>92600</v>
      </c>
      <c r="AB18" s="618"/>
      <c r="AD18" s="618">
        <v>92600</v>
      </c>
      <c r="AE18" s="618"/>
      <c r="AG18" s="618">
        <v>92600</v>
      </c>
      <c r="AH18" s="618"/>
    </row>
    <row r="19" spans="3:34" ht="5.25" customHeight="1"/>
    <row r="20" spans="3:34" ht="13.5" customHeight="1">
      <c r="C20" s="580" t="s">
        <v>996</v>
      </c>
      <c r="E20" s="618">
        <v>1250000</v>
      </c>
      <c r="F20" s="618"/>
      <c r="G20" s="618"/>
      <c r="K20" s="618">
        <v>1894032</v>
      </c>
      <c r="L20" s="618"/>
      <c r="M20" s="618"/>
      <c r="O20" s="618">
        <v>1682352</v>
      </c>
      <c r="P20" s="618"/>
      <c r="Q20" s="618"/>
      <c r="S20" s="618">
        <v>211680</v>
      </c>
      <c r="T20" s="618"/>
      <c r="U20" s="618"/>
      <c r="W20" s="618">
        <v>0</v>
      </c>
      <c r="X20" s="618"/>
      <c r="Y20" s="618"/>
      <c r="AA20" s="618">
        <v>-432352</v>
      </c>
      <c r="AB20" s="618"/>
      <c r="AD20" s="618">
        <v>-644032</v>
      </c>
      <c r="AE20" s="618"/>
      <c r="AG20" s="618">
        <v>-644032</v>
      </c>
      <c r="AH20" s="618"/>
    </row>
    <row r="21" spans="3:34" ht="5.25" customHeight="1"/>
    <row r="22" spans="3:34" ht="13.5" customHeight="1">
      <c r="C22" s="580" t="s">
        <v>995</v>
      </c>
      <c r="E22" s="618">
        <v>30000</v>
      </c>
      <c r="F22" s="618"/>
      <c r="G22" s="618"/>
      <c r="W22" s="618">
        <v>0</v>
      </c>
      <c r="X22" s="618"/>
      <c r="Y22" s="618"/>
      <c r="AA22" s="618">
        <v>30000</v>
      </c>
      <c r="AB22" s="618"/>
      <c r="AD22" s="618">
        <v>30000</v>
      </c>
      <c r="AE22" s="618"/>
      <c r="AG22" s="618">
        <v>30000</v>
      </c>
      <c r="AH22" s="618"/>
    </row>
    <row r="23" spans="3:34" ht="5.25" customHeight="1"/>
    <row r="24" spans="3:34" ht="13.5" customHeight="1">
      <c r="C24" s="580" t="s">
        <v>994</v>
      </c>
      <c r="E24" s="618">
        <v>1335000</v>
      </c>
      <c r="F24" s="618"/>
      <c r="G24" s="618"/>
      <c r="K24" s="618">
        <v>1057526</v>
      </c>
      <c r="L24" s="618"/>
      <c r="M24" s="618"/>
      <c r="O24" s="618">
        <v>1057526</v>
      </c>
      <c r="P24" s="618"/>
      <c r="Q24" s="618"/>
      <c r="W24" s="618">
        <v>0</v>
      </c>
      <c r="X24" s="618"/>
      <c r="Y24" s="618"/>
      <c r="AA24" s="618">
        <v>277474</v>
      </c>
      <c r="AB24" s="618"/>
      <c r="AD24" s="618">
        <v>277474</v>
      </c>
      <c r="AE24" s="618"/>
      <c r="AG24" s="618">
        <v>277474</v>
      </c>
      <c r="AH24" s="618"/>
    </row>
    <row r="25" spans="3:34" ht="5.25" customHeight="1"/>
    <row r="26" spans="3:34" ht="13.5" customHeight="1">
      <c r="C26" s="580" t="s">
        <v>993</v>
      </c>
      <c r="E26" s="618">
        <v>11471000</v>
      </c>
      <c r="F26" s="618"/>
      <c r="G26" s="618"/>
      <c r="K26" s="618">
        <v>12146210</v>
      </c>
      <c r="L26" s="618"/>
      <c r="M26" s="618"/>
      <c r="O26" s="618">
        <v>12146210</v>
      </c>
      <c r="P26" s="618"/>
      <c r="Q26" s="618"/>
      <c r="W26" s="618">
        <v>0</v>
      </c>
      <c r="X26" s="618"/>
      <c r="Y26" s="618"/>
      <c r="AA26" s="618">
        <v>-675210</v>
      </c>
      <c r="AB26" s="618"/>
      <c r="AD26" s="618">
        <v>-675210</v>
      </c>
      <c r="AE26" s="618"/>
      <c r="AG26" s="618">
        <v>-675210</v>
      </c>
      <c r="AH26" s="618"/>
    </row>
    <row r="27" spans="3:34" ht="5.25" customHeight="1"/>
    <row r="28" spans="3:34" ht="13.5" customHeight="1">
      <c r="C28" s="580" t="s">
        <v>992</v>
      </c>
      <c r="E28" s="618">
        <v>10815000</v>
      </c>
      <c r="F28" s="618"/>
      <c r="G28" s="618"/>
      <c r="K28" s="618">
        <v>10584652</v>
      </c>
      <c r="L28" s="618"/>
      <c r="M28" s="618"/>
      <c r="O28" s="618">
        <v>10583504</v>
      </c>
      <c r="P28" s="618"/>
      <c r="Q28" s="618"/>
      <c r="W28" s="618">
        <v>0</v>
      </c>
      <c r="X28" s="618"/>
      <c r="Y28" s="618"/>
      <c r="AA28" s="618">
        <v>231496</v>
      </c>
      <c r="AB28" s="618"/>
      <c r="AD28" s="618">
        <v>231496</v>
      </c>
      <c r="AE28" s="618"/>
      <c r="AG28" s="618">
        <v>231496</v>
      </c>
      <c r="AH28" s="618"/>
    </row>
    <row r="29" spans="3:34" ht="5.25" customHeight="1"/>
    <row r="30" spans="3:34" ht="13.5" customHeight="1">
      <c r="C30" s="580" t="s">
        <v>991</v>
      </c>
      <c r="E30" s="618">
        <v>9451000</v>
      </c>
      <c r="F30" s="618"/>
      <c r="G30" s="618"/>
      <c r="K30" s="618">
        <v>8050262</v>
      </c>
      <c r="L30" s="618"/>
      <c r="M30" s="618"/>
      <c r="O30" s="618">
        <v>8061230</v>
      </c>
      <c r="P30" s="618"/>
      <c r="Q30" s="618"/>
      <c r="W30" s="618">
        <v>0</v>
      </c>
      <c r="X30" s="618"/>
      <c r="Y30" s="618"/>
      <c r="AA30" s="618">
        <v>1389770</v>
      </c>
      <c r="AB30" s="618"/>
      <c r="AD30" s="618">
        <v>1389770</v>
      </c>
      <c r="AE30" s="618"/>
      <c r="AG30" s="618">
        <v>1389770</v>
      </c>
      <c r="AH30" s="618"/>
    </row>
    <row r="31" spans="3:34" ht="5.25" customHeight="1"/>
    <row r="32" spans="3:34" ht="13.5" customHeight="1">
      <c r="C32" s="580" t="s">
        <v>990</v>
      </c>
      <c r="K32" s="618">
        <v>10968</v>
      </c>
      <c r="L32" s="618"/>
      <c r="M32" s="618"/>
      <c r="W32" s="618">
        <v>0</v>
      </c>
      <c r="X32" s="618"/>
      <c r="Y32" s="618"/>
    </row>
    <row r="33" spans="3:36" ht="5.25" customHeight="1"/>
    <row r="34" spans="3:36" ht="13.5" customHeight="1">
      <c r="C34" s="580" t="s">
        <v>989</v>
      </c>
      <c r="E34" s="618">
        <v>8704000</v>
      </c>
      <c r="F34" s="618"/>
      <c r="G34" s="618"/>
      <c r="K34" s="618">
        <v>6436426</v>
      </c>
      <c r="L34" s="618"/>
      <c r="M34" s="618"/>
      <c r="O34" s="618">
        <v>6436426</v>
      </c>
      <c r="P34" s="618"/>
      <c r="Q34" s="618"/>
      <c r="W34" s="618">
        <v>0</v>
      </c>
      <c r="X34" s="618"/>
      <c r="Y34" s="618"/>
      <c r="AA34" s="618">
        <v>2267574</v>
      </c>
      <c r="AB34" s="618"/>
      <c r="AD34" s="618">
        <v>2267574</v>
      </c>
      <c r="AE34" s="618"/>
      <c r="AG34" s="618">
        <v>2267574</v>
      </c>
      <c r="AH34" s="618"/>
    </row>
    <row r="35" spans="3:36" ht="5.25" customHeight="1"/>
    <row r="36" spans="3:36" ht="13.5" customHeight="1">
      <c r="C36" s="580" t="s">
        <v>988</v>
      </c>
      <c r="E36" s="618">
        <v>384000</v>
      </c>
      <c r="F36" s="618"/>
      <c r="G36" s="618"/>
      <c r="K36" s="618">
        <v>322475</v>
      </c>
      <c r="L36" s="618"/>
      <c r="M36" s="618"/>
      <c r="O36" s="618">
        <v>322475</v>
      </c>
      <c r="P36" s="618"/>
      <c r="Q36" s="618"/>
      <c r="W36" s="618">
        <v>0</v>
      </c>
      <c r="X36" s="618"/>
      <c r="Y36" s="618"/>
      <c r="AA36" s="618">
        <v>61525</v>
      </c>
      <c r="AB36" s="618"/>
      <c r="AD36" s="618">
        <v>61525</v>
      </c>
      <c r="AE36" s="618"/>
      <c r="AG36" s="618">
        <v>61525</v>
      </c>
      <c r="AH36" s="618"/>
    </row>
    <row r="37" spans="3:36" ht="5.25" customHeight="1"/>
    <row r="38" spans="3:36" ht="13.5" customHeight="1">
      <c r="C38" s="580" t="s">
        <v>987</v>
      </c>
      <c r="E38" s="618">
        <v>1100000</v>
      </c>
      <c r="F38" s="618"/>
      <c r="G38" s="618"/>
      <c r="K38" s="618">
        <v>719976</v>
      </c>
      <c r="L38" s="618"/>
      <c r="M38" s="618"/>
      <c r="O38" s="618">
        <v>639976</v>
      </c>
      <c r="P38" s="618"/>
      <c r="Q38" s="618"/>
      <c r="W38" s="618">
        <v>0</v>
      </c>
      <c r="X38" s="618"/>
      <c r="Y38" s="618"/>
      <c r="AA38" s="618">
        <v>460024</v>
      </c>
      <c r="AB38" s="618"/>
      <c r="AD38" s="618">
        <v>460024</v>
      </c>
      <c r="AE38" s="618"/>
      <c r="AG38" s="618">
        <v>460024</v>
      </c>
      <c r="AH38" s="618"/>
      <c r="AI38" s="365">
        <f>120000*2+70000*2</f>
        <v>380000</v>
      </c>
      <c r="AJ38" s="582">
        <f>AG38-AI38</f>
        <v>80024</v>
      </c>
    </row>
    <row r="39" spans="3:36" ht="5.25" customHeight="1">
      <c r="AI39" s="460">
        <f t="shared" ref="AI39" si="0">ROUNDUP(O37/9*3,-3)</f>
        <v>0</v>
      </c>
      <c r="AJ39" s="582">
        <f t="shared" ref="AJ39:AJ96" si="1">AG39-AI39</f>
        <v>0</v>
      </c>
    </row>
    <row r="40" spans="3:36" ht="13.5" customHeight="1">
      <c r="C40" s="580" t="s">
        <v>986</v>
      </c>
      <c r="E40" s="618">
        <v>60000</v>
      </c>
      <c r="F40" s="618"/>
      <c r="G40" s="618"/>
      <c r="K40" s="618">
        <v>51484</v>
      </c>
      <c r="L40" s="618"/>
      <c r="M40" s="618"/>
      <c r="O40" s="618">
        <v>51484</v>
      </c>
      <c r="P40" s="618"/>
      <c r="Q40" s="618"/>
      <c r="W40" s="618">
        <v>0</v>
      </c>
      <c r="X40" s="618"/>
      <c r="Y40" s="618"/>
      <c r="AA40" s="618">
        <v>8516</v>
      </c>
      <c r="AB40" s="618"/>
      <c r="AD40" s="618">
        <v>8516</v>
      </c>
      <c r="AE40" s="618"/>
      <c r="AG40" s="618">
        <v>8516</v>
      </c>
      <c r="AH40" s="618"/>
      <c r="AI40" s="460">
        <f>ROUNDUP(O40/9*3,-3)</f>
        <v>18000</v>
      </c>
      <c r="AJ40" s="582">
        <f t="shared" si="1"/>
        <v>-9484</v>
      </c>
    </row>
    <row r="41" spans="3:36" ht="5.25" customHeight="1">
      <c r="AI41" s="460">
        <f t="shared" ref="AI41:AI96" si="2">ROUNDUP(O41/9*3,-3)</f>
        <v>0</v>
      </c>
      <c r="AJ41" s="582">
        <f t="shared" si="1"/>
        <v>0</v>
      </c>
    </row>
    <row r="42" spans="3:36" ht="13.5" customHeight="1">
      <c r="C42" s="580" t="s">
        <v>985</v>
      </c>
      <c r="E42" s="618">
        <v>17000</v>
      </c>
      <c r="F42" s="618"/>
      <c r="G42" s="618"/>
      <c r="K42" s="618">
        <v>11456</v>
      </c>
      <c r="L42" s="618"/>
      <c r="M42" s="618"/>
      <c r="O42" s="618">
        <v>9514</v>
      </c>
      <c r="P42" s="618"/>
      <c r="Q42" s="618"/>
      <c r="W42" s="618">
        <v>1942</v>
      </c>
      <c r="X42" s="618"/>
      <c r="Y42" s="618"/>
      <c r="AA42" s="618">
        <v>7486</v>
      </c>
      <c r="AB42" s="618"/>
      <c r="AD42" s="618">
        <v>7486</v>
      </c>
      <c r="AE42" s="618"/>
      <c r="AG42" s="618">
        <v>5544</v>
      </c>
      <c r="AH42" s="618"/>
      <c r="AI42" s="460">
        <f t="shared" si="2"/>
        <v>4000</v>
      </c>
      <c r="AJ42" s="582">
        <f t="shared" si="1"/>
        <v>1544</v>
      </c>
    </row>
    <row r="43" spans="3:36" ht="5.25" customHeight="1">
      <c r="AI43" s="460">
        <f t="shared" si="2"/>
        <v>0</v>
      </c>
      <c r="AJ43" s="582">
        <f t="shared" si="1"/>
        <v>0</v>
      </c>
    </row>
    <row r="44" spans="3:36" ht="13.5" customHeight="1">
      <c r="C44" s="580" t="s">
        <v>984</v>
      </c>
      <c r="E44" s="618">
        <v>90000</v>
      </c>
      <c r="F44" s="618"/>
      <c r="G44" s="618"/>
      <c r="K44" s="618">
        <v>58885</v>
      </c>
      <c r="L44" s="618"/>
      <c r="M44" s="618"/>
      <c r="O44" s="618">
        <v>52386</v>
      </c>
      <c r="P44" s="618"/>
      <c r="Q44" s="618"/>
      <c r="W44" s="618">
        <v>6499</v>
      </c>
      <c r="X44" s="618"/>
      <c r="Y44" s="618"/>
      <c r="AA44" s="618">
        <v>37614</v>
      </c>
      <c r="AB44" s="618"/>
      <c r="AD44" s="618">
        <v>37614</v>
      </c>
      <c r="AE44" s="618"/>
      <c r="AG44" s="618">
        <v>31115</v>
      </c>
      <c r="AH44" s="618"/>
      <c r="AI44" s="365">
        <f>ROUNDUP(O44/9*3,-3)+3000</f>
        <v>21000</v>
      </c>
      <c r="AJ44" s="582">
        <f t="shared" si="1"/>
        <v>10115</v>
      </c>
    </row>
    <row r="45" spans="3:36" ht="5.25" customHeight="1">
      <c r="AI45" s="460">
        <f t="shared" si="2"/>
        <v>0</v>
      </c>
      <c r="AJ45" s="582">
        <f t="shared" si="1"/>
        <v>0</v>
      </c>
    </row>
    <row r="46" spans="3:36" ht="13.5" customHeight="1">
      <c r="C46" s="580" t="s">
        <v>983</v>
      </c>
      <c r="E46" s="618">
        <v>75000</v>
      </c>
      <c r="F46" s="618"/>
      <c r="G46" s="618"/>
      <c r="K46" s="618">
        <v>25670</v>
      </c>
      <c r="L46" s="618"/>
      <c r="M46" s="618"/>
      <c r="O46" s="618">
        <v>23168</v>
      </c>
      <c r="P46" s="618"/>
      <c r="Q46" s="618"/>
      <c r="W46" s="618">
        <v>2502</v>
      </c>
      <c r="X46" s="618"/>
      <c r="Y46" s="618"/>
      <c r="AA46" s="618">
        <v>51832</v>
      </c>
      <c r="AB46" s="618"/>
      <c r="AD46" s="618">
        <v>51832</v>
      </c>
      <c r="AE46" s="618"/>
      <c r="AG46" s="618">
        <v>49330</v>
      </c>
      <c r="AH46" s="618"/>
      <c r="AI46" s="365">
        <f>ROUNDUP(O46/9*3,-3)+10000</f>
        <v>18000</v>
      </c>
      <c r="AJ46" s="582">
        <f t="shared" si="1"/>
        <v>31330</v>
      </c>
    </row>
    <row r="47" spans="3:36" ht="5.25" customHeight="1">
      <c r="AI47" s="460">
        <f t="shared" si="2"/>
        <v>0</v>
      </c>
      <c r="AJ47" s="582">
        <f t="shared" si="1"/>
        <v>0</v>
      </c>
    </row>
    <row r="48" spans="3:36" ht="13.5" customHeight="1">
      <c r="C48" s="580" t="s">
        <v>982</v>
      </c>
      <c r="E48" s="618">
        <v>30000</v>
      </c>
      <c r="F48" s="618"/>
      <c r="G48" s="618"/>
      <c r="K48" s="618">
        <v>23218</v>
      </c>
      <c r="L48" s="618"/>
      <c r="M48" s="618"/>
      <c r="O48" s="618">
        <v>23218</v>
      </c>
      <c r="P48" s="618"/>
      <c r="Q48" s="618"/>
      <c r="W48" s="618">
        <v>0</v>
      </c>
      <c r="X48" s="618"/>
      <c r="Y48" s="618"/>
      <c r="AA48" s="618">
        <v>6782</v>
      </c>
      <c r="AB48" s="618"/>
      <c r="AD48" s="618">
        <v>6782</v>
      </c>
      <c r="AE48" s="618"/>
      <c r="AG48" s="618">
        <v>6782</v>
      </c>
      <c r="AH48" s="618"/>
      <c r="AI48" s="460">
        <f t="shared" si="2"/>
        <v>8000</v>
      </c>
      <c r="AJ48" s="582">
        <f t="shared" si="1"/>
        <v>-1218</v>
      </c>
    </row>
    <row r="49" spans="3:36" ht="5.25" customHeight="1">
      <c r="AI49" s="460">
        <f t="shared" si="2"/>
        <v>0</v>
      </c>
      <c r="AJ49" s="582">
        <f t="shared" si="1"/>
        <v>0</v>
      </c>
    </row>
    <row r="50" spans="3:36" ht="13.5" customHeight="1">
      <c r="C50" s="580" t="s">
        <v>981</v>
      </c>
      <c r="E50" s="618">
        <v>30000</v>
      </c>
      <c r="F50" s="618"/>
      <c r="G50" s="618"/>
      <c r="W50" s="618">
        <v>0</v>
      </c>
      <c r="X50" s="618"/>
      <c r="Y50" s="618"/>
      <c r="AA50" s="618">
        <v>30000</v>
      </c>
      <c r="AB50" s="618"/>
      <c r="AD50" s="618">
        <v>30000</v>
      </c>
      <c r="AE50" s="618"/>
      <c r="AG50" s="618">
        <v>30000</v>
      </c>
      <c r="AH50" s="618"/>
      <c r="AI50" s="460">
        <f t="shared" si="2"/>
        <v>0</v>
      </c>
      <c r="AJ50" s="582">
        <f t="shared" si="1"/>
        <v>30000</v>
      </c>
    </row>
    <row r="51" spans="3:36" ht="5.25" customHeight="1">
      <c r="AI51" s="460">
        <f t="shared" si="2"/>
        <v>0</v>
      </c>
      <c r="AJ51" s="582">
        <f t="shared" si="1"/>
        <v>0</v>
      </c>
    </row>
    <row r="52" spans="3:36" ht="13.5" customHeight="1">
      <c r="C52" s="580" t="s">
        <v>980</v>
      </c>
      <c r="E52" s="618">
        <v>150000</v>
      </c>
      <c r="F52" s="618"/>
      <c r="G52" s="618"/>
      <c r="K52" s="618">
        <v>156476</v>
      </c>
      <c r="L52" s="618"/>
      <c r="M52" s="618"/>
      <c r="O52" s="618">
        <v>156476</v>
      </c>
      <c r="P52" s="618"/>
      <c r="Q52" s="618"/>
      <c r="W52" s="618">
        <v>0</v>
      </c>
      <c r="X52" s="618"/>
      <c r="Y52" s="618"/>
      <c r="AA52" s="618">
        <v>-6476</v>
      </c>
      <c r="AB52" s="618"/>
      <c r="AD52" s="618">
        <v>-6476</v>
      </c>
      <c r="AE52" s="618"/>
      <c r="AG52" s="618">
        <v>-6476</v>
      </c>
      <c r="AH52" s="618"/>
      <c r="AI52" s="460">
        <f t="shared" si="2"/>
        <v>53000</v>
      </c>
      <c r="AJ52" s="582">
        <f t="shared" si="1"/>
        <v>-59476</v>
      </c>
    </row>
    <row r="53" spans="3:36" ht="5.25" customHeight="1">
      <c r="AI53" s="460">
        <f t="shared" si="2"/>
        <v>0</v>
      </c>
      <c r="AJ53" s="582">
        <f t="shared" si="1"/>
        <v>0</v>
      </c>
    </row>
    <row r="54" spans="3:36" ht="13.5" customHeight="1">
      <c r="C54" s="580" t="s">
        <v>979</v>
      </c>
      <c r="E54" s="618">
        <v>262000</v>
      </c>
      <c r="F54" s="618"/>
      <c r="G54" s="618"/>
      <c r="K54" s="618">
        <v>130345</v>
      </c>
      <c r="L54" s="618"/>
      <c r="M54" s="618"/>
      <c r="O54" s="618">
        <v>71980</v>
      </c>
      <c r="P54" s="618"/>
      <c r="Q54" s="618"/>
      <c r="W54" s="618">
        <v>58365</v>
      </c>
      <c r="X54" s="618"/>
      <c r="Y54" s="618"/>
      <c r="AA54" s="618">
        <v>190020</v>
      </c>
      <c r="AB54" s="618"/>
      <c r="AD54" s="618">
        <v>190020</v>
      </c>
      <c r="AE54" s="618"/>
      <c r="AG54" s="618">
        <v>131655</v>
      </c>
      <c r="AH54" s="618"/>
      <c r="AI54" s="460">
        <f t="shared" si="2"/>
        <v>24000</v>
      </c>
      <c r="AJ54" s="582">
        <f t="shared" si="1"/>
        <v>107655</v>
      </c>
    </row>
    <row r="55" spans="3:36" ht="5.25" customHeight="1">
      <c r="AI55" s="460">
        <f t="shared" si="2"/>
        <v>0</v>
      </c>
      <c r="AJ55" s="582">
        <f t="shared" si="1"/>
        <v>0</v>
      </c>
    </row>
    <row r="56" spans="3:36" ht="12" customHeight="1">
      <c r="C56" s="634" t="s">
        <v>978</v>
      </c>
      <c r="E56" s="618">
        <v>20000</v>
      </c>
      <c r="F56" s="618"/>
      <c r="G56" s="618"/>
      <c r="K56" s="618">
        <v>6000</v>
      </c>
      <c r="L56" s="618"/>
      <c r="M56" s="618"/>
      <c r="O56" s="618">
        <v>6000</v>
      </c>
      <c r="P56" s="618"/>
      <c r="Q56" s="618"/>
      <c r="W56" s="618">
        <v>0</v>
      </c>
      <c r="X56" s="618"/>
      <c r="Y56" s="618"/>
      <c r="AA56" s="618">
        <v>14000</v>
      </c>
      <c r="AB56" s="618"/>
      <c r="AD56" s="618">
        <v>14000</v>
      </c>
      <c r="AE56" s="618"/>
      <c r="AG56" s="618">
        <v>14000</v>
      </c>
      <c r="AH56" s="618"/>
      <c r="AI56" s="460">
        <f t="shared" si="2"/>
        <v>2000</v>
      </c>
      <c r="AJ56" s="582">
        <f t="shared" si="1"/>
        <v>12000</v>
      </c>
    </row>
    <row r="57" spans="3:36" ht="11.25" customHeight="1">
      <c r="C57" s="634"/>
      <c r="AI57" s="460">
        <f t="shared" si="2"/>
        <v>0</v>
      </c>
      <c r="AJ57" s="582">
        <f t="shared" si="1"/>
        <v>0</v>
      </c>
    </row>
    <row r="58" spans="3:36" ht="13.5" customHeight="1">
      <c r="C58" s="580" t="s">
        <v>977</v>
      </c>
      <c r="E58" s="618">
        <v>84000</v>
      </c>
      <c r="F58" s="618"/>
      <c r="G58" s="618"/>
      <c r="K58" s="618">
        <v>213320</v>
      </c>
      <c r="L58" s="618"/>
      <c r="M58" s="618"/>
      <c r="O58" s="618">
        <v>153320</v>
      </c>
      <c r="P58" s="618"/>
      <c r="Q58" s="618"/>
      <c r="W58" s="618">
        <v>0</v>
      </c>
      <c r="X58" s="618"/>
      <c r="Y58" s="618"/>
      <c r="AA58" s="618">
        <v>-69320</v>
      </c>
      <c r="AB58" s="618"/>
      <c r="AD58" s="618">
        <v>-69320</v>
      </c>
      <c r="AE58" s="618"/>
      <c r="AG58" s="618">
        <v>-69320</v>
      </c>
      <c r="AH58" s="618"/>
      <c r="AI58" s="460">
        <f t="shared" si="2"/>
        <v>52000</v>
      </c>
      <c r="AJ58" s="582">
        <f t="shared" si="1"/>
        <v>-121320</v>
      </c>
    </row>
    <row r="59" spans="3:36" ht="5.25" customHeight="1">
      <c r="AI59" s="460">
        <f t="shared" si="2"/>
        <v>0</v>
      </c>
      <c r="AJ59" s="582">
        <f t="shared" si="1"/>
        <v>0</v>
      </c>
    </row>
    <row r="60" spans="3:36" ht="12" customHeight="1">
      <c r="C60" s="634" t="s">
        <v>976</v>
      </c>
      <c r="E60" s="618">
        <v>1000</v>
      </c>
      <c r="F60" s="618"/>
      <c r="G60" s="618"/>
      <c r="K60" s="618">
        <v>1070</v>
      </c>
      <c r="L60" s="618"/>
      <c r="M60" s="618"/>
      <c r="O60" s="618">
        <v>870</v>
      </c>
      <c r="P60" s="618"/>
      <c r="Q60" s="618"/>
      <c r="W60" s="618">
        <v>200</v>
      </c>
      <c r="X60" s="618"/>
      <c r="Y60" s="618"/>
      <c r="AA60" s="618">
        <v>130</v>
      </c>
      <c r="AB60" s="618"/>
      <c r="AD60" s="618">
        <v>130</v>
      </c>
      <c r="AE60" s="618"/>
      <c r="AG60" s="618">
        <v>-70</v>
      </c>
      <c r="AH60" s="618"/>
      <c r="AI60" s="460">
        <f t="shared" si="2"/>
        <v>1000</v>
      </c>
      <c r="AJ60" s="582">
        <f t="shared" si="1"/>
        <v>-1070</v>
      </c>
    </row>
    <row r="61" spans="3:36" ht="11.25" customHeight="1">
      <c r="C61" s="634"/>
      <c r="AI61" s="460">
        <f t="shared" si="2"/>
        <v>0</v>
      </c>
      <c r="AJ61" s="582">
        <f t="shared" si="1"/>
        <v>0</v>
      </c>
    </row>
    <row r="62" spans="3:36" ht="13.5" customHeight="1">
      <c r="C62" s="580" t="s">
        <v>975</v>
      </c>
      <c r="E62" s="618">
        <v>1045000</v>
      </c>
      <c r="F62" s="618"/>
      <c r="G62" s="618"/>
      <c r="K62" s="618">
        <v>786176</v>
      </c>
      <c r="L62" s="618"/>
      <c r="M62" s="618"/>
      <c r="O62" s="618">
        <v>786176</v>
      </c>
      <c r="P62" s="618"/>
      <c r="Q62" s="618"/>
      <c r="W62" s="618">
        <v>0</v>
      </c>
      <c r="X62" s="618"/>
      <c r="Y62" s="618"/>
      <c r="AA62" s="618">
        <v>258824</v>
      </c>
      <c r="AB62" s="618"/>
      <c r="AD62" s="618">
        <v>258824</v>
      </c>
      <c r="AE62" s="618"/>
      <c r="AG62" s="618">
        <v>258824</v>
      </c>
      <c r="AH62" s="618"/>
      <c r="AI62" s="460">
        <f t="shared" si="2"/>
        <v>263000</v>
      </c>
      <c r="AJ62" s="582">
        <f t="shared" si="1"/>
        <v>-4176</v>
      </c>
    </row>
    <row r="63" spans="3:36" ht="5.25" customHeight="1">
      <c r="AI63" s="460">
        <f t="shared" si="2"/>
        <v>0</v>
      </c>
      <c r="AJ63" s="582">
        <f t="shared" si="1"/>
        <v>0</v>
      </c>
    </row>
    <row r="64" spans="3:36" ht="13.5" customHeight="1">
      <c r="C64" s="580" t="s">
        <v>974</v>
      </c>
      <c r="E64" s="618">
        <v>120000</v>
      </c>
      <c r="F64" s="618"/>
      <c r="G64" s="618"/>
      <c r="K64" s="618">
        <v>115300</v>
      </c>
      <c r="L64" s="618"/>
      <c r="M64" s="618"/>
      <c r="O64" s="618">
        <v>115300</v>
      </c>
      <c r="P64" s="618"/>
      <c r="Q64" s="618"/>
      <c r="W64" s="618">
        <v>0</v>
      </c>
      <c r="X64" s="618"/>
      <c r="Y64" s="618"/>
      <c r="AA64" s="618">
        <v>4700</v>
      </c>
      <c r="AB64" s="618"/>
      <c r="AD64" s="618">
        <v>4700</v>
      </c>
      <c r="AE64" s="618"/>
      <c r="AG64" s="618">
        <v>4700</v>
      </c>
      <c r="AH64" s="618"/>
      <c r="AI64" s="365">
        <f>AG64</f>
        <v>4700</v>
      </c>
      <c r="AJ64" s="582">
        <f t="shared" si="1"/>
        <v>0</v>
      </c>
    </row>
    <row r="65" spans="3:36" ht="5.25" customHeight="1">
      <c r="AI65" s="460">
        <f t="shared" si="2"/>
        <v>0</v>
      </c>
      <c r="AJ65" s="582">
        <f t="shared" si="1"/>
        <v>0</v>
      </c>
    </row>
    <row r="66" spans="3:36" ht="12" customHeight="1">
      <c r="C66" s="634" t="s">
        <v>973</v>
      </c>
      <c r="K66" s="618">
        <v>38205</v>
      </c>
      <c r="L66" s="618"/>
      <c r="M66" s="618"/>
      <c r="O66" s="618">
        <v>36205</v>
      </c>
      <c r="P66" s="618"/>
      <c r="Q66" s="618"/>
      <c r="W66" s="618">
        <v>2000</v>
      </c>
      <c r="X66" s="618"/>
      <c r="Y66" s="618"/>
      <c r="AA66" s="618">
        <v>-36205</v>
      </c>
      <c r="AB66" s="618"/>
      <c r="AD66" s="618">
        <v>-36205</v>
      </c>
      <c r="AE66" s="618"/>
      <c r="AG66" s="618">
        <v>-38205</v>
      </c>
      <c r="AH66" s="618"/>
      <c r="AI66" s="460">
        <f t="shared" si="2"/>
        <v>13000</v>
      </c>
      <c r="AJ66" s="582">
        <f t="shared" si="1"/>
        <v>-51205</v>
      </c>
    </row>
    <row r="67" spans="3:36" ht="11.25" customHeight="1">
      <c r="C67" s="634"/>
      <c r="AI67" s="460">
        <f t="shared" si="2"/>
        <v>0</v>
      </c>
      <c r="AJ67" s="582">
        <f t="shared" si="1"/>
        <v>0</v>
      </c>
    </row>
    <row r="68" spans="3:36" ht="12" customHeight="1">
      <c r="C68" s="634" t="s">
        <v>972</v>
      </c>
      <c r="E68" s="618">
        <v>25000</v>
      </c>
      <c r="F68" s="618"/>
      <c r="G68" s="618"/>
      <c r="K68" s="618">
        <v>18200</v>
      </c>
      <c r="L68" s="618"/>
      <c r="M68" s="618"/>
      <c r="O68" s="618">
        <v>18200</v>
      </c>
      <c r="P68" s="618"/>
      <c r="Q68" s="618"/>
      <c r="W68" s="618">
        <v>0</v>
      </c>
      <c r="X68" s="618"/>
      <c r="Y68" s="618"/>
      <c r="AA68" s="618">
        <v>6800</v>
      </c>
      <c r="AB68" s="618"/>
      <c r="AD68" s="618">
        <v>6800</v>
      </c>
      <c r="AE68" s="618"/>
      <c r="AG68" s="618">
        <v>6800</v>
      </c>
      <c r="AH68" s="618"/>
      <c r="AI68" s="460">
        <f t="shared" si="2"/>
        <v>7000</v>
      </c>
      <c r="AJ68" s="582">
        <f t="shared" si="1"/>
        <v>-200</v>
      </c>
    </row>
    <row r="69" spans="3:36" ht="11.25" customHeight="1">
      <c r="C69" s="634"/>
      <c r="AI69" s="460">
        <f t="shared" si="2"/>
        <v>0</v>
      </c>
      <c r="AJ69" s="582">
        <f t="shared" si="1"/>
        <v>0</v>
      </c>
    </row>
    <row r="70" spans="3:36" s="585" customFormat="1" ht="13.5" customHeight="1">
      <c r="C70" s="584" t="s">
        <v>971</v>
      </c>
      <c r="E70" s="635">
        <v>180000</v>
      </c>
      <c r="F70" s="635"/>
      <c r="G70" s="635"/>
      <c r="K70" s="635">
        <v>61947</v>
      </c>
      <c r="L70" s="635"/>
      <c r="M70" s="635"/>
      <c r="O70" s="635">
        <v>61947</v>
      </c>
      <c r="P70" s="635"/>
      <c r="Q70" s="635"/>
      <c r="W70" s="635">
        <v>0</v>
      </c>
      <c r="X70" s="635"/>
      <c r="Y70" s="635"/>
      <c r="AA70" s="635">
        <v>118053</v>
      </c>
      <c r="AB70" s="635"/>
      <c r="AD70" s="635">
        <v>118053</v>
      </c>
      <c r="AE70" s="635"/>
      <c r="AG70" s="635">
        <v>118053</v>
      </c>
      <c r="AH70" s="635"/>
      <c r="AI70" s="586"/>
      <c r="AJ70" s="587"/>
    </row>
    <row r="71" spans="3:36" ht="5.25" customHeight="1">
      <c r="AI71" s="460">
        <f t="shared" si="2"/>
        <v>0</v>
      </c>
      <c r="AJ71" s="582">
        <f t="shared" si="1"/>
        <v>0</v>
      </c>
    </row>
    <row r="72" spans="3:36" ht="13.5" customHeight="1">
      <c r="C72" s="580" t="s">
        <v>970</v>
      </c>
      <c r="K72" s="618">
        <v>29450</v>
      </c>
      <c r="L72" s="618"/>
      <c r="M72" s="618"/>
      <c r="O72" s="618">
        <v>29450</v>
      </c>
      <c r="P72" s="618"/>
      <c r="Q72" s="618"/>
      <c r="W72" s="618">
        <v>0</v>
      </c>
      <c r="X72" s="618"/>
      <c r="Y72" s="618"/>
      <c r="AA72" s="618">
        <v>-29450</v>
      </c>
      <c r="AB72" s="618"/>
      <c r="AD72" s="618">
        <v>-29450</v>
      </c>
      <c r="AE72" s="618"/>
      <c r="AG72" s="618">
        <v>-29450</v>
      </c>
      <c r="AH72" s="618"/>
      <c r="AI72" s="460">
        <f t="shared" si="2"/>
        <v>10000</v>
      </c>
      <c r="AJ72" s="582">
        <f t="shared" si="1"/>
        <v>-39450</v>
      </c>
    </row>
    <row r="73" spans="3:36" ht="5.25" customHeight="1">
      <c r="AI73" s="460">
        <f t="shared" si="2"/>
        <v>0</v>
      </c>
      <c r="AJ73" s="582">
        <f t="shared" si="1"/>
        <v>0</v>
      </c>
    </row>
    <row r="74" spans="3:36" ht="13.5" customHeight="1">
      <c r="C74" s="580" t="s">
        <v>969</v>
      </c>
      <c r="E74" s="618">
        <v>91000</v>
      </c>
      <c r="F74" s="618"/>
      <c r="G74" s="618"/>
      <c r="K74" s="618">
        <v>60592</v>
      </c>
      <c r="L74" s="618"/>
      <c r="M74" s="618"/>
      <c r="O74" s="618">
        <v>60592</v>
      </c>
      <c r="P74" s="618"/>
      <c r="Q74" s="618"/>
      <c r="W74" s="618">
        <v>0</v>
      </c>
      <c r="X74" s="618"/>
      <c r="Y74" s="618"/>
      <c r="AA74" s="618">
        <v>30408</v>
      </c>
      <c r="AB74" s="618"/>
      <c r="AD74" s="618">
        <v>30408</v>
      </c>
      <c r="AE74" s="618"/>
      <c r="AG74" s="618">
        <v>30408</v>
      </c>
      <c r="AH74" s="618"/>
      <c r="AI74" s="365">
        <f>ROUNDUP(O74/9*4,-3)</f>
        <v>27000</v>
      </c>
      <c r="AJ74" s="582">
        <f t="shared" si="1"/>
        <v>3408</v>
      </c>
    </row>
    <row r="75" spans="3:36" ht="5.25" customHeight="1">
      <c r="AI75" s="460">
        <f t="shared" si="2"/>
        <v>0</v>
      </c>
      <c r="AJ75" s="582">
        <f t="shared" si="1"/>
        <v>0</v>
      </c>
    </row>
    <row r="76" spans="3:36" ht="13.5" customHeight="1">
      <c r="C76" s="580" t="s">
        <v>968</v>
      </c>
      <c r="E76" s="618">
        <v>54000</v>
      </c>
      <c r="F76" s="618"/>
      <c r="G76" s="618"/>
      <c r="K76" s="618">
        <v>41395</v>
      </c>
      <c r="L76" s="618"/>
      <c r="M76" s="618"/>
      <c r="O76" s="618">
        <v>37695</v>
      </c>
      <c r="P76" s="618"/>
      <c r="Q76" s="618"/>
      <c r="W76" s="618">
        <v>3700</v>
      </c>
      <c r="X76" s="618"/>
      <c r="Y76" s="618"/>
      <c r="AA76" s="618">
        <v>16305</v>
      </c>
      <c r="AB76" s="618"/>
      <c r="AD76" s="618">
        <v>16305</v>
      </c>
      <c r="AE76" s="618"/>
      <c r="AG76" s="618">
        <v>12605</v>
      </c>
      <c r="AH76" s="618"/>
      <c r="AI76" s="365">
        <f>AG76</f>
        <v>12605</v>
      </c>
      <c r="AJ76" s="582">
        <f t="shared" si="1"/>
        <v>0</v>
      </c>
    </row>
    <row r="77" spans="3:36" ht="5.25" customHeight="1">
      <c r="AI77" s="460">
        <f t="shared" si="2"/>
        <v>0</v>
      </c>
      <c r="AJ77" s="582">
        <f t="shared" si="1"/>
        <v>0</v>
      </c>
    </row>
    <row r="78" spans="3:36" ht="13.5" customHeight="1">
      <c r="C78" s="580" t="s">
        <v>967</v>
      </c>
      <c r="E78" s="618">
        <v>250000</v>
      </c>
      <c r="F78" s="618"/>
      <c r="G78" s="618"/>
      <c r="K78" s="618">
        <v>163009</v>
      </c>
      <c r="L78" s="618"/>
      <c r="M78" s="618"/>
      <c r="O78" s="618">
        <v>133254</v>
      </c>
      <c r="P78" s="618"/>
      <c r="Q78" s="618"/>
      <c r="W78" s="618">
        <v>29755</v>
      </c>
      <c r="X78" s="618"/>
      <c r="Y78" s="618"/>
      <c r="AA78" s="618">
        <v>116746</v>
      </c>
      <c r="AB78" s="618"/>
      <c r="AD78" s="618">
        <v>116746</v>
      </c>
      <c r="AE78" s="618"/>
      <c r="AG78" s="618">
        <v>86991</v>
      </c>
      <c r="AH78" s="618"/>
      <c r="AI78" s="460">
        <f t="shared" si="2"/>
        <v>45000</v>
      </c>
      <c r="AJ78" s="582">
        <f t="shared" si="1"/>
        <v>41991</v>
      </c>
    </row>
    <row r="79" spans="3:36" ht="5.25" customHeight="1">
      <c r="AI79" s="460">
        <f t="shared" si="2"/>
        <v>0</v>
      </c>
      <c r="AJ79" s="582">
        <f t="shared" si="1"/>
        <v>0</v>
      </c>
    </row>
    <row r="80" spans="3:36" ht="13.5" customHeight="1">
      <c r="C80" s="580" t="s">
        <v>966</v>
      </c>
      <c r="E80" s="618">
        <v>32000</v>
      </c>
      <c r="F80" s="618"/>
      <c r="G80" s="618"/>
      <c r="K80" s="618">
        <v>10200</v>
      </c>
      <c r="L80" s="618"/>
      <c r="M80" s="618"/>
      <c r="O80" s="618">
        <v>10200</v>
      </c>
      <c r="P80" s="618"/>
      <c r="Q80" s="618"/>
      <c r="W80" s="618">
        <v>0</v>
      </c>
      <c r="X80" s="618"/>
      <c r="Y80" s="618"/>
      <c r="AA80" s="618">
        <v>21800</v>
      </c>
      <c r="AB80" s="618"/>
      <c r="AD80" s="618">
        <v>21800</v>
      </c>
      <c r="AE80" s="618"/>
      <c r="AG80" s="618">
        <v>21800</v>
      </c>
      <c r="AH80" s="618"/>
      <c r="AI80" s="460">
        <f t="shared" si="2"/>
        <v>4000</v>
      </c>
      <c r="AJ80" s="582">
        <f t="shared" si="1"/>
        <v>17800</v>
      </c>
    </row>
    <row r="81" spans="3:36" ht="5.25" customHeight="1">
      <c r="AI81" s="460">
        <f t="shared" si="2"/>
        <v>0</v>
      </c>
      <c r="AJ81" s="582">
        <f t="shared" si="1"/>
        <v>0</v>
      </c>
    </row>
    <row r="82" spans="3:36" ht="12" customHeight="1">
      <c r="C82" s="634" t="s">
        <v>965</v>
      </c>
      <c r="E82" s="618">
        <v>40000</v>
      </c>
      <c r="F82" s="618"/>
      <c r="G82" s="618"/>
      <c r="K82" s="618">
        <v>31211</v>
      </c>
      <c r="L82" s="618"/>
      <c r="M82" s="618"/>
      <c r="O82" s="618">
        <v>31211</v>
      </c>
      <c r="P82" s="618"/>
      <c r="Q82" s="618"/>
      <c r="W82" s="618">
        <v>0</v>
      </c>
      <c r="X82" s="618"/>
      <c r="Y82" s="618"/>
      <c r="AA82" s="618">
        <v>8789</v>
      </c>
      <c r="AB82" s="618"/>
      <c r="AD82" s="618">
        <v>8789</v>
      </c>
      <c r="AE82" s="618"/>
      <c r="AG82" s="618">
        <v>8789</v>
      </c>
      <c r="AH82" s="618"/>
      <c r="AI82" s="460">
        <f t="shared" si="2"/>
        <v>11000</v>
      </c>
      <c r="AJ82" s="582">
        <f t="shared" si="1"/>
        <v>-2211</v>
      </c>
    </row>
    <row r="83" spans="3:36" ht="11.25" customHeight="1">
      <c r="C83" s="634"/>
      <c r="AI83" s="460">
        <f t="shared" si="2"/>
        <v>0</v>
      </c>
      <c r="AJ83" s="582">
        <f t="shared" si="1"/>
        <v>0</v>
      </c>
    </row>
    <row r="84" spans="3:36" ht="12" customHeight="1">
      <c r="C84" s="634" t="s">
        <v>964</v>
      </c>
      <c r="E84" s="618">
        <v>20000</v>
      </c>
      <c r="F84" s="618"/>
      <c r="G84" s="618"/>
      <c r="K84" s="618">
        <v>6172</v>
      </c>
      <c r="L84" s="618"/>
      <c r="M84" s="618"/>
      <c r="O84" s="618">
        <v>6172</v>
      </c>
      <c r="P84" s="618"/>
      <c r="Q84" s="618"/>
      <c r="W84" s="618">
        <v>0</v>
      </c>
      <c r="X84" s="618"/>
      <c r="Y84" s="618"/>
      <c r="AA84" s="618">
        <v>13828</v>
      </c>
      <c r="AB84" s="618"/>
      <c r="AD84" s="618">
        <v>13828</v>
      </c>
      <c r="AE84" s="618"/>
      <c r="AG84" s="618">
        <v>13828</v>
      </c>
      <c r="AH84" s="618"/>
      <c r="AI84" s="460">
        <f t="shared" si="2"/>
        <v>3000</v>
      </c>
      <c r="AJ84" s="582">
        <f t="shared" si="1"/>
        <v>10828</v>
      </c>
    </row>
    <row r="85" spans="3:36" ht="11.25" customHeight="1">
      <c r="C85" s="634"/>
      <c r="AI85" s="460">
        <f t="shared" si="2"/>
        <v>0</v>
      </c>
      <c r="AJ85" s="582">
        <f t="shared" si="1"/>
        <v>0</v>
      </c>
    </row>
    <row r="86" spans="3:36" ht="13.5" customHeight="1">
      <c r="C86" s="580" t="s">
        <v>963</v>
      </c>
      <c r="E86" s="618">
        <v>350000</v>
      </c>
      <c r="F86" s="618"/>
      <c r="G86" s="618"/>
      <c r="K86" s="618">
        <v>173275</v>
      </c>
      <c r="L86" s="618"/>
      <c r="M86" s="618"/>
      <c r="O86" s="618">
        <v>159375</v>
      </c>
      <c r="P86" s="618"/>
      <c r="Q86" s="618"/>
      <c r="W86" s="618">
        <v>13900</v>
      </c>
      <c r="X86" s="618"/>
      <c r="Y86" s="618"/>
      <c r="AA86" s="618">
        <v>190625</v>
      </c>
      <c r="AB86" s="618"/>
      <c r="AD86" s="618">
        <v>190625</v>
      </c>
      <c r="AE86" s="618"/>
      <c r="AG86" s="618">
        <v>176725</v>
      </c>
      <c r="AH86" s="618"/>
      <c r="AI86" s="460">
        <f t="shared" si="2"/>
        <v>54000</v>
      </c>
      <c r="AJ86" s="582">
        <f t="shared" si="1"/>
        <v>122725</v>
      </c>
    </row>
    <row r="87" spans="3:36" ht="5.25" customHeight="1">
      <c r="AI87" s="460">
        <f t="shared" si="2"/>
        <v>0</v>
      </c>
      <c r="AJ87" s="582">
        <f t="shared" si="1"/>
        <v>0</v>
      </c>
    </row>
    <row r="88" spans="3:36" ht="13.5" customHeight="1">
      <c r="C88" s="580" t="s">
        <v>962</v>
      </c>
      <c r="E88" s="618">
        <v>17000</v>
      </c>
      <c r="F88" s="618"/>
      <c r="G88" s="618"/>
      <c r="K88" s="618">
        <v>8400</v>
      </c>
      <c r="L88" s="618"/>
      <c r="M88" s="618"/>
      <c r="O88" s="618">
        <v>8400</v>
      </c>
      <c r="P88" s="618"/>
      <c r="Q88" s="618"/>
      <c r="W88" s="618">
        <v>0</v>
      </c>
      <c r="X88" s="618"/>
      <c r="Y88" s="618"/>
      <c r="AA88" s="618">
        <v>8600</v>
      </c>
      <c r="AB88" s="618"/>
      <c r="AD88" s="618">
        <v>8600</v>
      </c>
      <c r="AE88" s="618"/>
      <c r="AG88" s="618">
        <v>8600</v>
      </c>
      <c r="AH88" s="618"/>
      <c r="AI88" s="365">
        <v>8400</v>
      </c>
      <c r="AJ88" s="582">
        <f t="shared" si="1"/>
        <v>200</v>
      </c>
    </row>
    <row r="89" spans="3:36" ht="5.25" customHeight="1">
      <c r="AI89" s="460">
        <f t="shared" si="2"/>
        <v>0</v>
      </c>
      <c r="AJ89" s="582">
        <f t="shared" si="1"/>
        <v>0</v>
      </c>
    </row>
    <row r="90" spans="3:36" ht="13.5" customHeight="1">
      <c r="C90" s="580" t="s">
        <v>961</v>
      </c>
      <c r="E90" s="618">
        <v>2000</v>
      </c>
      <c r="F90" s="618"/>
      <c r="G90" s="618"/>
      <c r="K90" s="618">
        <v>2000</v>
      </c>
      <c r="L90" s="618"/>
      <c r="M90" s="618"/>
      <c r="O90" s="618">
        <v>2000</v>
      </c>
      <c r="P90" s="618"/>
      <c r="Q90" s="618"/>
      <c r="W90" s="618">
        <v>0</v>
      </c>
      <c r="X90" s="618"/>
      <c r="Y90" s="618"/>
      <c r="AI90" s="460">
        <f t="shared" si="2"/>
        <v>1000</v>
      </c>
      <c r="AJ90" s="582">
        <f t="shared" si="1"/>
        <v>-1000</v>
      </c>
    </row>
    <row r="91" spans="3:36" ht="5.25" customHeight="1">
      <c r="AI91" s="460">
        <f t="shared" si="2"/>
        <v>0</v>
      </c>
      <c r="AJ91" s="582">
        <f t="shared" si="1"/>
        <v>0</v>
      </c>
    </row>
    <row r="92" spans="3:36" ht="13.5" customHeight="1">
      <c r="C92" s="580" t="s">
        <v>960</v>
      </c>
      <c r="E92" s="618">
        <v>36000</v>
      </c>
      <c r="F92" s="618"/>
      <c r="G92" s="618"/>
      <c r="K92" s="618">
        <v>32000</v>
      </c>
      <c r="L92" s="618"/>
      <c r="M92" s="618"/>
      <c r="O92" s="618">
        <v>32000</v>
      </c>
      <c r="P92" s="618"/>
      <c r="Q92" s="618"/>
      <c r="W92" s="618">
        <v>0</v>
      </c>
      <c r="X92" s="618"/>
      <c r="Y92" s="618"/>
      <c r="AA92" s="618">
        <v>4000</v>
      </c>
      <c r="AB92" s="618"/>
      <c r="AD92" s="618">
        <v>4000</v>
      </c>
      <c r="AE92" s="618"/>
      <c r="AG92" s="618">
        <v>4000</v>
      </c>
      <c r="AH92" s="618"/>
      <c r="AI92" s="460">
        <f>AG92</f>
        <v>4000</v>
      </c>
      <c r="AJ92" s="582">
        <f t="shared" si="1"/>
        <v>0</v>
      </c>
    </row>
    <row r="93" spans="3:36" ht="5.25" customHeight="1">
      <c r="AI93" s="460">
        <f t="shared" si="2"/>
        <v>0</v>
      </c>
      <c r="AJ93" s="582">
        <f t="shared" si="1"/>
        <v>0</v>
      </c>
    </row>
    <row r="94" spans="3:36" ht="13.5" customHeight="1">
      <c r="C94" s="580" t="s">
        <v>959</v>
      </c>
      <c r="E94" s="618">
        <v>50000</v>
      </c>
      <c r="F94" s="618"/>
      <c r="G94" s="618"/>
      <c r="K94" s="618">
        <v>37565</v>
      </c>
      <c r="L94" s="618"/>
      <c r="M94" s="618"/>
      <c r="O94" s="618">
        <v>37565</v>
      </c>
      <c r="P94" s="618"/>
      <c r="Q94" s="618"/>
      <c r="W94" s="618">
        <v>0</v>
      </c>
      <c r="X94" s="618"/>
      <c r="Y94" s="618"/>
      <c r="AA94" s="618">
        <v>12435</v>
      </c>
      <c r="AB94" s="618"/>
      <c r="AD94" s="618">
        <v>12435</v>
      </c>
      <c r="AE94" s="618"/>
      <c r="AG94" s="618">
        <v>12435</v>
      </c>
      <c r="AH94" s="618"/>
      <c r="AI94" s="460">
        <f t="shared" si="2"/>
        <v>13000</v>
      </c>
      <c r="AJ94" s="582">
        <f t="shared" si="1"/>
        <v>-565</v>
      </c>
    </row>
    <row r="95" spans="3:36" ht="5.25" customHeight="1">
      <c r="AI95" s="460">
        <f t="shared" si="2"/>
        <v>0</v>
      </c>
      <c r="AJ95" s="582">
        <f t="shared" si="1"/>
        <v>0</v>
      </c>
    </row>
    <row r="96" spans="3:36" ht="13.5" customHeight="1">
      <c r="C96" s="580" t="s">
        <v>958</v>
      </c>
      <c r="E96" s="618">
        <v>141000</v>
      </c>
      <c r="F96" s="618"/>
      <c r="G96" s="618"/>
      <c r="K96" s="618">
        <v>46257</v>
      </c>
      <c r="L96" s="618"/>
      <c r="M96" s="618"/>
      <c r="O96" s="618">
        <v>46257</v>
      </c>
      <c r="P96" s="618"/>
      <c r="Q96" s="618"/>
      <c r="W96" s="618">
        <v>0</v>
      </c>
      <c r="X96" s="618"/>
      <c r="Y96" s="618"/>
      <c r="AA96" s="618">
        <v>94743</v>
      </c>
      <c r="AB96" s="618"/>
      <c r="AD96" s="618">
        <v>94743</v>
      </c>
      <c r="AE96" s="618"/>
      <c r="AG96" s="618">
        <v>94743</v>
      </c>
      <c r="AH96" s="618"/>
      <c r="AI96" s="460">
        <f t="shared" si="2"/>
        <v>16000</v>
      </c>
      <c r="AJ96" s="582">
        <f t="shared" si="1"/>
        <v>78743</v>
      </c>
    </row>
    <row r="97" spans="2:37" ht="5.25" customHeight="1"/>
    <row r="98" spans="2:37" ht="11.25" customHeight="1">
      <c r="AH98" s="588" t="s">
        <v>1012</v>
      </c>
      <c r="AI98" s="589">
        <f>SUM(AI38:AI97)/3</f>
        <v>359235</v>
      </c>
      <c r="AJ98" s="583">
        <f>SUM(AJ38:AJ97)</f>
        <v>256988</v>
      </c>
    </row>
    <row r="99" spans="2:37" ht="11.25" customHeight="1">
      <c r="AJ99" s="590">
        <v>100000</v>
      </c>
      <c r="AK99" s="591" t="s">
        <v>1013</v>
      </c>
    </row>
    <row r="100" spans="2:37" ht="13.5" customHeight="1">
      <c r="B100" s="633" t="s">
        <v>957</v>
      </c>
      <c r="C100" s="633"/>
      <c r="E100" s="616">
        <v>200000</v>
      </c>
      <c r="F100" s="616"/>
      <c r="G100" s="616"/>
      <c r="H100" s="616">
        <v>200000</v>
      </c>
      <c r="I100" s="616"/>
      <c r="K100" s="616">
        <v>142980</v>
      </c>
      <c r="L100" s="616"/>
      <c r="M100" s="616"/>
      <c r="O100" s="616">
        <v>142980</v>
      </c>
      <c r="P100" s="616"/>
      <c r="Q100" s="616"/>
      <c r="W100" s="616">
        <v>0</v>
      </c>
      <c r="X100" s="616"/>
      <c r="Y100" s="616"/>
      <c r="AA100" s="616">
        <v>57020</v>
      </c>
      <c r="AB100" s="616"/>
      <c r="AD100" s="616">
        <v>57020</v>
      </c>
      <c r="AE100" s="616"/>
      <c r="AG100" s="616">
        <v>57020</v>
      </c>
      <c r="AH100" s="616"/>
      <c r="AJ100" s="590">
        <v>100000</v>
      </c>
      <c r="AK100" s="592" t="s">
        <v>1014</v>
      </c>
    </row>
    <row r="101" spans="2:37" ht="13.5" customHeight="1">
      <c r="B101" s="633" t="s">
        <v>956</v>
      </c>
      <c r="C101" s="633"/>
      <c r="E101" s="616">
        <v>50000</v>
      </c>
      <c r="F101" s="616"/>
      <c r="G101" s="616"/>
      <c r="H101" s="616">
        <v>82000</v>
      </c>
      <c r="I101" s="616"/>
      <c r="K101" s="616">
        <v>32000</v>
      </c>
      <c r="L101" s="616"/>
      <c r="M101" s="616"/>
      <c r="O101" s="616">
        <v>32000</v>
      </c>
      <c r="P101" s="616"/>
      <c r="Q101" s="616"/>
      <c r="W101" s="616">
        <v>0</v>
      </c>
      <c r="X101" s="616"/>
      <c r="Y101" s="616"/>
      <c r="AA101" s="616">
        <v>18000</v>
      </c>
      <c r="AB101" s="616"/>
      <c r="AD101" s="616">
        <v>18000</v>
      </c>
      <c r="AE101" s="616"/>
      <c r="AG101" s="616">
        <v>18000</v>
      </c>
      <c r="AH101" s="616"/>
      <c r="AJ101" s="593">
        <f>AJ98-AJ99-AJ100</f>
        <v>56988</v>
      </c>
      <c r="AK101" s="592" t="s">
        <v>1015</v>
      </c>
    </row>
    <row r="102" spans="2:37" ht="13.5" customHeight="1">
      <c r="C102" s="580" t="s">
        <v>955</v>
      </c>
      <c r="E102" s="618">
        <v>50000</v>
      </c>
      <c r="F102" s="618"/>
      <c r="G102" s="618"/>
      <c r="K102" s="618">
        <v>32000</v>
      </c>
      <c r="L102" s="618"/>
      <c r="M102" s="618"/>
      <c r="O102" s="618">
        <v>32000</v>
      </c>
      <c r="P102" s="618"/>
      <c r="Q102" s="618"/>
      <c r="W102" s="618">
        <v>0</v>
      </c>
      <c r="X102" s="618"/>
      <c r="Y102" s="618"/>
      <c r="AA102" s="618">
        <v>18000</v>
      </c>
      <c r="AB102" s="618"/>
      <c r="AD102" s="618">
        <v>18000</v>
      </c>
      <c r="AE102" s="618"/>
      <c r="AG102" s="618">
        <v>18000</v>
      </c>
      <c r="AH102" s="618"/>
    </row>
    <row r="103" spans="2:37" ht="5.25" customHeight="1"/>
    <row r="104" spans="2:37" ht="11.25" customHeight="1"/>
    <row r="105" spans="2:37" ht="13.5" customHeight="1">
      <c r="B105" s="633" t="s">
        <v>954</v>
      </c>
      <c r="C105" s="633"/>
      <c r="E105" s="616">
        <v>150000</v>
      </c>
      <c r="F105" s="616"/>
      <c r="G105" s="616"/>
      <c r="H105" s="616">
        <v>118000</v>
      </c>
      <c r="I105" s="616"/>
      <c r="K105" s="616">
        <v>110980</v>
      </c>
      <c r="L105" s="616"/>
      <c r="M105" s="616"/>
      <c r="O105" s="616">
        <v>110980</v>
      </c>
      <c r="P105" s="616"/>
      <c r="Q105" s="616"/>
      <c r="W105" s="616">
        <v>0</v>
      </c>
      <c r="X105" s="616"/>
      <c r="Y105" s="616"/>
      <c r="AA105" s="616">
        <v>39020</v>
      </c>
      <c r="AB105" s="616"/>
      <c r="AD105" s="616">
        <v>39020</v>
      </c>
      <c r="AE105" s="616"/>
      <c r="AG105" s="616">
        <v>39020</v>
      </c>
      <c r="AH105" s="616"/>
    </row>
    <row r="106" spans="2:37" ht="13.5" customHeight="1">
      <c r="C106" s="580" t="s">
        <v>953</v>
      </c>
      <c r="E106" s="618">
        <v>100000</v>
      </c>
      <c r="F106" s="618"/>
      <c r="G106" s="618"/>
      <c r="K106" s="618">
        <v>20980</v>
      </c>
      <c r="L106" s="618"/>
      <c r="M106" s="618"/>
      <c r="O106" s="618">
        <v>20980</v>
      </c>
      <c r="P106" s="618"/>
      <c r="Q106" s="618"/>
      <c r="W106" s="618">
        <v>0</v>
      </c>
      <c r="X106" s="618"/>
      <c r="Y106" s="618"/>
      <c r="AA106" s="618">
        <v>79020</v>
      </c>
      <c r="AB106" s="618"/>
      <c r="AD106" s="618">
        <v>79020</v>
      </c>
      <c r="AE106" s="618"/>
      <c r="AG106" s="618">
        <v>79020</v>
      </c>
      <c r="AH106" s="618"/>
    </row>
    <row r="107" spans="2:37" ht="5.25" customHeight="1"/>
    <row r="108" spans="2:37" ht="13.5" customHeight="1">
      <c r="C108" s="580" t="s">
        <v>952</v>
      </c>
      <c r="E108" s="618">
        <v>50000</v>
      </c>
      <c r="F108" s="618"/>
      <c r="G108" s="618"/>
      <c r="K108" s="618">
        <v>90000</v>
      </c>
      <c r="L108" s="618"/>
      <c r="M108" s="618"/>
      <c r="O108" s="618">
        <v>90000</v>
      </c>
      <c r="P108" s="618"/>
      <c r="Q108" s="618"/>
      <c r="W108" s="618">
        <v>0</v>
      </c>
      <c r="X108" s="618"/>
      <c r="Y108" s="618"/>
      <c r="AA108" s="618">
        <v>-40000</v>
      </c>
      <c r="AB108" s="618"/>
      <c r="AD108" s="618">
        <v>-40000</v>
      </c>
      <c r="AE108" s="618"/>
      <c r="AG108" s="618">
        <v>-40000</v>
      </c>
      <c r="AH108" s="618"/>
    </row>
    <row r="109" spans="2:37" ht="5.25" customHeight="1"/>
    <row r="110" spans="2:37" ht="11.25" customHeight="1"/>
    <row r="111" spans="2:37" ht="11.25" customHeight="1"/>
    <row r="112" spans="2:37" ht="11.25" customHeight="1"/>
    <row r="113" ht="137.25" customHeight="1"/>
  </sheetData>
  <mergeCells count="373">
    <mergeCell ref="E106:G106"/>
    <mergeCell ref="K106:M106"/>
    <mergeCell ref="O106:Q106"/>
    <mergeCell ref="W106:Y106"/>
    <mergeCell ref="AA106:AB106"/>
    <mergeCell ref="AD106:AE106"/>
    <mergeCell ref="AG106:AH106"/>
    <mergeCell ref="AG108:AH108"/>
    <mergeCell ref="E108:G108"/>
    <mergeCell ref="K108:M108"/>
    <mergeCell ref="O108:Q108"/>
    <mergeCell ref="W108:Y108"/>
    <mergeCell ref="AA108:AB108"/>
    <mergeCell ref="AD108:AE108"/>
    <mergeCell ref="E102:G102"/>
    <mergeCell ref="K102:M102"/>
    <mergeCell ref="O102:Q102"/>
    <mergeCell ref="W102:Y102"/>
    <mergeCell ref="AA102:AB102"/>
    <mergeCell ref="AD102:AE102"/>
    <mergeCell ref="AG102:AH102"/>
    <mergeCell ref="B105:C105"/>
    <mergeCell ref="E105:G105"/>
    <mergeCell ref="H105:I105"/>
    <mergeCell ref="K105:M105"/>
    <mergeCell ref="O105:Q105"/>
    <mergeCell ref="W105:Y105"/>
    <mergeCell ref="AA105:AB105"/>
    <mergeCell ref="AD105:AE105"/>
    <mergeCell ref="AG105:AH105"/>
    <mergeCell ref="B101:C101"/>
    <mergeCell ref="E101:G101"/>
    <mergeCell ref="H101:I101"/>
    <mergeCell ref="K101:M101"/>
    <mergeCell ref="O101:Q101"/>
    <mergeCell ref="W101:Y101"/>
    <mergeCell ref="AA101:AB101"/>
    <mergeCell ref="AD101:AE101"/>
    <mergeCell ref="AG101:AH101"/>
    <mergeCell ref="E96:G96"/>
    <mergeCell ref="K96:M96"/>
    <mergeCell ref="O96:Q96"/>
    <mergeCell ref="W96:Y96"/>
    <mergeCell ref="AA96:AB96"/>
    <mergeCell ref="AD96:AE96"/>
    <mergeCell ref="AG96:AH96"/>
    <mergeCell ref="B100:C100"/>
    <mergeCell ref="E100:G100"/>
    <mergeCell ref="H100:I100"/>
    <mergeCell ref="K100:M100"/>
    <mergeCell ref="O100:Q100"/>
    <mergeCell ref="W100:Y100"/>
    <mergeCell ref="AA100:AB100"/>
    <mergeCell ref="AD100:AE100"/>
    <mergeCell ref="AG100:AH100"/>
    <mergeCell ref="AD92:AE92"/>
    <mergeCell ref="AG92:AH92"/>
    <mergeCell ref="E94:G94"/>
    <mergeCell ref="K94:M94"/>
    <mergeCell ref="O94:Q94"/>
    <mergeCell ref="W94:Y94"/>
    <mergeCell ref="AA94:AB94"/>
    <mergeCell ref="AD94:AE94"/>
    <mergeCell ref="AG94:AH94"/>
    <mergeCell ref="E90:G90"/>
    <mergeCell ref="K90:M90"/>
    <mergeCell ref="O90:Q90"/>
    <mergeCell ref="W90:Y90"/>
    <mergeCell ref="E92:G92"/>
    <mergeCell ref="K92:M92"/>
    <mergeCell ref="O92:Q92"/>
    <mergeCell ref="W92:Y92"/>
    <mergeCell ref="AA92:AB92"/>
    <mergeCell ref="E88:G88"/>
    <mergeCell ref="K88:M88"/>
    <mergeCell ref="O88:Q88"/>
    <mergeCell ref="W88:Y88"/>
    <mergeCell ref="AA88:AB88"/>
    <mergeCell ref="AD88:AE88"/>
    <mergeCell ref="AG88:AH88"/>
    <mergeCell ref="E86:G86"/>
    <mergeCell ref="K86:M86"/>
    <mergeCell ref="O86:Q86"/>
    <mergeCell ref="W86:Y86"/>
    <mergeCell ref="AA86:AB86"/>
    <mergeCell ref="AD86:AE86"/>
    <mergeCell ref="AD82:AE82"/>
    <mergeCell ref="AG82:AH82"/>
    <mergeCell ref="AD84:AE84"/>
    <mergeCell ref="AG84:AH84"/>
    <mergeCell ref="AG86:AH86"/>
    <mergeCell ref="C82:C83"/>
    <mergeCell ref="E82:G82"/>
    <mergeCell ref="K82:M82"/>
    <mergeCell ref="O82:Q82"/>
    <mergeCell ref="W82:Y82"/>
    <mergeCell ref="AA82:AB82"/>
    <mergeCell ref="C84:C85"/>
    <mergeCell ref="E84:G84"/>
    <mergeCell ref="K84:M84"/>
    <mergeCell ref="O84:Q84"/>
    <mergeCell ref="W84:Y84"/>
    <mergeCell ref="AA84:AB84"/>
    <mergeCell ref="E80:G80"/>
    <mergeCell ref="K80:M80"/>
    <mergeCell ref="O80:Q80"/>
    <mergeCell ref="W80:Y80"/>
    <mergeCell ref="AA80:AB80"/>
    <mergeCell ref="AD80:AE80"/>
    <mergeCell ref="AG80:AH80"/>
    <mergeCell ref="E78:G78"/>
    <mergeCell ref="K78:M78"/>
    <mergeCell ref="O78:Q78"/>
    <mergeCell ref="W78:Y78"/>
    <mergeCell ref="AA78:AB78"/>
    <mergeCell ref="AD78:AE78"/>
    <mergeCell ref="AG74:AH74"/>
    <mergeCell ref="E76:G76"/>
    <mergeCell ref="K76:M76"/>
    <mergeCell ref="O76:Q76"/>
    <mergeCell ref="W76:Y76"/>
    <mergeCell ref="AA76:AB76"/>
    <mergeCell ref="AG78:AH78"/>
    <mergeCell ref="K72:M72"/>
    <mergeCell ref="O72:Q72"/>
    <mergeCell ref="W72:Y72"/>
    <mergeCell ref="AA72:AB72"/>
    <mergeCell ref="AD72:AE72"/>
    <mergeCell ref="AG72:AH72"/>
    <mergeCell ref="AD76:AE76"/>
    <mergeCell ref="AG76:AH76"/>
    <mergeCell ref="E74:G74"/>
    <mergeCell ref="K74:M74"/>
    <mergeCell ref="O74:Q74"/>
    <mergeCell ref="W74:Y74"/>
    <mergeCell ref="AA74:AB74"/>
    <mergeCell ref="AD74:AE74"/>
    <mergeCell ref="C68:C69"/>
    <mergeCell ref="E68:G68"/>
    <mergeCell ref="K68:M68"/>
    <mergeCell ref="O68:Q68"/>
    <mergeCell ref="W68:Y68"/>
    <mergeCell ref="AA68:AB68"/>
    <mergeCell ref="AD68:AE68"/>
    <mergeCell ref="AG68:AH68"/>
    <mergeCell ref="E70:G70"/>
    <mergeCell ref="K70:M70"/>
    <mergeCell ref="O70:Q70"/>
    <mergeCell ref="W70:Y70"/>
    <mergeCell ref="AA70:AB70"/>
    <mergeCell ref="AD70:AE70"/>
    <mergeCell ref="AG70:AH70"/>
    <mergeCell ref="AG62:AH62"/>
    <mergeCell ref="AG64:AH64"/>
    <mergeCell ref="C66:C67"/>
    <mergeCell ref="K66:M66"/>
    <mergeCell ref="O66:Q66"/>
    <mergeCell ref="W66:Y66"/>
    <mergeCell ref="AA66:AB66"/>
    <mergeCell ref="AD66:AE66"/>
    <mergeCell ref="AG66:AH66"/>
    <mergeCell ref="E64:G64"/>
    <mergeCell ref="K64:M64"/>
    <mergeCell ref="E62:G62"/>
    <mergeCell ref="K62:M62"/>
    <mergeCell ref="O62:Q62"/>
    <mergeCell ref="W62:Y62"/>
    <mergeCell ref="AA62:AB62"/>
    <mergeCell ref="AD62:AE62"/>
    <mergeCell ref="O64:Q64"/>
    <mergeCell ref="W64:Y64"/>
    <mergeCell ref="AA64:AB64"/>
    <mergeCell ref="AD64:AE64"/>
    <mergeCell ref="E58:G58"/>
    <mergeCell ref="K58:M58"/>
    <mergeCell ref="O58:Q58"/>
    <mergeCell ref="W58:Y58"/>
    <mergeCell ref="AA58:AB58"/>
    <mergeCell ref="AD58:AE58"/>
    <mergeCell ref="AG58:AH58"/>
    <mergeCell ref="C60:C61"/>
    <mergeCell ref="E60:G60"/>
    <mergeCell ref="K60:M60"/>
    <mergeCell ref="O60:Q60"/>
    <mergeCell ref="W60:Y60"/>
    <mergeCell ref="AA60:AB60"/>
    <mergeCell ref="AD60:AE60"/>
    <mergeCell ref="AG60:AH60"/>
    <mergeCell ref="E54:G54"/>
    <mergeCell ref="K54:M54"/>
    <mergeCell ref="O54:Q54"/>
    <mergeCell ref="W54:Y54"/>
    <mergeCell ref="AA54:AB54"/>
    <mergeCell ref="AD54:AE54"/>
    <mergeCell ref="AG54:AH54"/>
    <mergeCell ref="C56:C57"/>
    <mergeCell ref="E56:G56"/>
    <mergeCell ref="K56:M56"/>
    <mergeCell ref="O56:Q56"/>
    <mergeCell ref="W56:Y56"/>
    <mergeCell ref="AA56:AB56"/>
    <mergeCell ref="AD56:AE56"/>
    <mergeCell ref="AG56:AH56"/>
    <mergeCell ref="E50:G50"/>
    <mergeCell ref="W50:Y50"/>
    <mergeCell ref="AA50:AB50"/>
    <mergeCell ref="AD50:AE50"/>
    <mergeCell ref="AG50:AH50"/>
    <mergeCell ref="E52:G52"/>
    <mergeCell ref="K52:M52"/>
    <mergeCell ref="O52:Q52"/>
    <mergeCell ref="W52:Y52"/>
    <mergeCell ref="AA52:AB52"/>
    <mergeCell ref="AD52:AE52"/>
    <mergeCell ref="AG52:AH52"/>
    <mergeCell ref="E48:G48"/>
    <mergeCell ref="K48:M48"/>
    <mergeCell ref="O48:Q48"/>
    <mergeCell ref="W48:Y48"/>
    <mergeCell ref="AA48:AB48"/>
    <mergeCell ref="AD48:AE48"/>
    <mergeCell ref="AG48:AH48"/>
    <mergeCell ref="E46:G46"/>
    <mergeCell ref="K46:M46"/>
    <mergeCell ref="AD44:AE44"/>
    <mergeCell ref="AG44:AH44"/>
    <mergeCell ref="E42:G42"/>
    <mergeCell ref="K42:M42"/>
    <mergeCell ref="O42:Q42"/>
    <mergeCell ref="W42:Y42"/>
    <mergeCell ref="AA42:AB42"/>
    <mergeCell ref="AD42:AE42"/>
    <mergeCell ref="O46:Q46"/>
    <mergeCell ref="W46:Y46"/>
    <mergeCell ref="AA46:AB46"/>
    <mergeCell ref="AD46:AE46"/>
    <mergeCell ref="AG42:AH42"/>
    <mergeCell ref="E44:G44"/>
    <mergeCell ref="K44:M44"/>
    <mergeCell ref="O44:Q44"/>
    <mergeCell ref="W44:Y44"/>
    <mergeCell ref="AA44:AB44"/>
    <mergeCell ref="AG46:AH46"/>
    <mergeCell ref="O38:Q38"/>
    <mergeCell ref="W38:Y38"/>
    <mergeCell ref="AA38:AB38"/>
    <mergeCell ref="AD38:AE38"/>
    <mergeCell ref="AA34:AB34"/>
    <mergeCell ref="AD34:AE34"/>
    <mergeCell ref="AG38:AH38"/>
    <mergeCell ref="E40:G40"/>
    <mergeCell ref="K40:M40"/>
    <mergeCell ref="O40:Q40"/>
    <mergeCell ref="W40:Y40"/>
    <mergeCell ref="AA40:AB40"/>
    <mergeCell ref="AD40:AE40"/>
    <mergeCell ref="AG40:AH40"/>
    <mergeCell ref="E38:G38"/>
    <mergeCell ref="K38:M38"/>
    <mergeCell ref="K32:M32"/>
    <mergeCell ref="W32:Y32"/>
    <mergeCell ref="E34:G34"/>
    <mergeCell ref="K34:M34"/>
    <mergeCell ref="O34:Q34"/>
    <mergeCell ref="W34:Y34"/>
    <mergeCell ref="AG34:AH34"/>
    <mergeCell ref="E36:G36"/>
    <mergeCell ref="K36:M36"/>
    <mergeCell ref="O36:Q36"/>
    <mergeCell ref="W36:Y36"/>
    <mergeCell ref="AA36:AB36"/>
    <mergeCell ref="AD36:AE36"/>
    <mergeCell ref="AG36:AH36"/>
    <mergeCell ref="E30:G30"/>
    <mergeCell ref="K30:M30"/>
    <mergeCell ref="O30:Q30"/>
    <mergeCell ref="W30:Y30"/>
    <mergeCell ref="AA30:AB30"/>
    <mergeCell ref="AD30:AE30"/>
    <mergeCell ref="AG30:AH30"/>
    <mergeCell ref="E28:G28"/>
    <mergeCell ref="K28:M28"/>
    <mergeCell ref="AD26:AE26"/>
    <mergeCell ref="AG26:AH26"/>
    <mergeCell ref="E24:G24"/>
    <mergeCell ref="K24:M24"/>
    <mergeCell ref="O24:Q24"/>
    <mergeCell ref="W24:Y24"/>
    <mergeCell ref="AA24:AB24"/>
    <mergeCell ref="AD24:AE24"/>
    <mergeCell ref="O28:Q28"/>
    <mergeCell ref="W28:Y28"/>
    <mergeCell ref="AA28:AB28"/>
    <mergeCell ref="AD28:AE28"/>
    <mergeCell ref="AG24:AH24"/>
    <mergeCell ref="E26:G26"/>
    <mergeCell ref="K26:M26"/>
    <mergeCell ref="O26:Q26"/>
    <mergeCell ref="W26:Y26"/>
    <mergeCell ref="AA26:AB26"/>
    <mergeCell ref="AG28:AH28"/>
    <mergeCell ref="E18:G18"/>
    <mergeCell ref="K18:M18"/>
    <mergeCell ref="O18:Q18"/>
    <mergeCell ref="W18:Y18"/>
    <mergeCell ref="AA18:AB18"/>
    <mergeCell ref="AD20:AE20"/>
    <mergeCell ref="AG20:AH20"/>
    <mergeCell ref="E22:G22"/>
    <mergeCell ref="W22:Y22"/>
    <mergeCell ref="AA22:AB22"/>
    <mergeCell ref="AD22:AE22"/>
    <mergeCell ref="AG22:AH22"/>
    <mergeCell ref="E20:G20"/>
    <mergeCell ref="K20:M20"/>
    <mergeCell ref="O20:Q20"/>
    <mergeCell ref="W16:Y16"/>
    <mergeCell ref="AA16:AB16"/>
    <mergeCell ref="AD18:AE18"/>
    <mergeCell ref="AG18:AH18"/>
    <mergeCell ref="W15:Y15"/>
    <mergeCell ref="AA15:AB15"/>
    <mergeCell ref="AD15:AE15"/>
    <mergeCell ref="AG15:AH15"/>
    <mergeCell ref="S20:U20"/>
    <mergeCell ref="W20:Y20"/>
    <mergeCell ref="AA20:AB20"/>
    <mergeCell ref="AD16:AE16"/>
    <mergeCell ref="AG16:AH16"/>
    <mergeCell ref="B15:C15"/>
    <mergeCell ref="E15:G15"/>
    <mergeCell ref="H15:I15"/>
    <mergeCell ref="K15:M15"/>
    <mergeCell ref="O15:Q15"/>
    <mergeCell ref="S15:U15"/>
    <mergeCell ref="E16:G16"/>
    <mergeCell ref="K16:M16"/>
    <mergeCell ref="O16:Q16"/>
    <mergeCell ref="S16:U16"/>
    <mergeCell ref="AG13:AH13"/>
    <mergeCell ref="B14:C14"/>
    <mergeCell ref="E14:G14"/>
    <mergeCell ref="H14:I14"/>
    <mergeCell ref="K14:M14"/>
    <mergeCell ref="O14:Q14"/>
    <mergeCell ref="S14:U14"/>
    <mergeCell ref="W14:Y14"/>
    <mergeCell ref="AA14:AB14"/>
    <mergeCell ref="AD14:AE14"/>
    <mergeCell ref="AG14:AH14"/>
    <mergeCell ref="A13:C13"/>
    <mergeCell ref="E13:G13"/>
    <mergeCell ref="H13:I13"/>
    <mergeCell ref="K13:M13"/>
    <mergeCell ref="O13:Q13"/>
    <mergeCell ref="S13:U13"/>
    <mergeCell ref="W13:Y13"/>
    <mergeCell ref="AA13:AB13"/>
    <mergeCell ref="AD13:AE13"/>
    <mergeCell ref="AB2:AG2"/>
    <mergeCell ref="A3:AG3"/>
    <mergeCell ref="A4:AG4"/>
    <mergeCell ref="A5:AG5"/>
    <mergeCell ref="AA7:AB11"/>
    <mergeCell ref="AD7:AD11"/>
    <mergeCell ref="AG7:AH10"/>
    <mergeCell ref="E8:E11"/>
    <mergeCell ref="I8:I11"/>
    <mergeCell ref="L8:L10"/>
    <mergeCell ref="P8:P12"/>
    <mergeCell ref="T8:T10"/>
    <mergeCell ref="X8:X12"/>
    <mergeCell ref="A9:C11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topLeftCell="B1" zoomScaleNormal="100" workbookViewId="0">
      <selection activeCell="D31" sqref="D31"/>
    </sheetView>
  </sheetViews>
  <sheetFormatPr defaultRowHeight="14.25"/>
  <cols>
    <col min="1" max="1" width="47.42578125" customWidth="1"/>
    <col min="2" max="2" width="65.85546875" customWidth="1"/>
    <col min="3" max="3" width="21.42578125" style="149" bestFit="1" customWidth="1"/>
    <col min="4" max="5" width="11.5703125" style="131" customWidth="1"/>
    <col min="6" max="6" width="12.85546875" style="131" bestFit="1" customWidth="1"/>
    <col min="7" max="7" width="17.85546875" style="131" customWidth="1"/>
    <col min="8" max="8" width="23.5703125" bestFit="1" customWidth="1"/>
  </cols>
  <sheetData>
    <row r="1" spans="1:8">
      <c r="A1" s="601" t="s">
        <v>325</v>
      </c>
      <c r="B1" s="601"/>
    </row>
    <row r="2" spans="1:8">
      <c r="A2" s="602" t="s">
        <v>326</v>
      </c>
      <c r="B2" s="601"/>
    </row>
    <row r="3" spans="1:8">
      <c r="A3" s="601" t="s">
        <v>327</v>
      </c>
      <c r="B3" s="601"/>
    </row>
    <row r="4" spans="1:8" ht="28.5">
      <c r="A4" s="601" t="s">
        <v>328</v>
      </c>
      <c r="B4" s="601"/>
      <c r="C4" s="150" t="s">
        <v>329</v>
      </c>
      <c r="D4" s="162" t="s">
        <v>330</v>
      </c>
      <c r="E4" s="131" t="s">
        <v>331</v>
      </c>
      <c r="F4" s="162" t="s">
        <v>332</v>
      </c>
    </row>
    <row r="5" spans="1:8">
      <c r="A5" s="602" t="s">
        <v>333</v>
      </c>
      <c r="B5" s="601"/>
      <c r="C5" s="151">
        <v>0</v>
      </c>
      <c r="D5" s="152">
        <f>縣庫對帳!P6</f>
        <v>343904</v>
      </c>
      <c r="E5" s="152">
        <v>40000</v>
      </c>
      <c r="F5" s="152">
        <f>庫款差額!C8+庫款差額!C15-庫款差額!C18-庫款差額!C21</f>
        <v>9596000</v>
      </c>
    </row>
    <row r="6" spans="1:8" ht="15" thickBot="1">
      <c r="A6" s="599" t="s">
        <v>334</v>
      </c>
      <c r="B6" s="600"/>
      <c r="C6" s="149" t="s">
        <v>335</v>
      </c>
      <c r="D6" s="164" t="e">
        <f>VLOOKUP("銀行存款-縣庫存款",平衡!$E$13:$H$48,4,0)+VLOOKUP("零用及週轉金",平衡!$D$13:$H$48,5,0)+VLOOKUP("預付費用",平衡!$D$13:$H$46,5,0)</f>
        <v>#N/A</v>
      </c>
      <c r="E6" s="164">
        <f>VLOOKUP("淨資產",平衡!$K$13:$T$71,10,0)+C5-VLOOKUP("固定資產",平衡!$B$13:$H$48,7,0)</f>
        <v>7440681</v>
      </c>
      <c r="F6" s="135" t="s">
        <v>336</v>
      </c>
    </row>
    <row r="7" spans="1:8" ht="15" thickBot="1">
      <c r="A7" s="599" t="s">
        <v>337</v>
      </c>
      <c r="B7" s="600"/>
      <c r="C7" s="149" t="s">
        <v>338</v>
      </c>
      <c r="D7" s="164">
        <f>VLOOKUP("銀行存款-專戶存款",平衡!$E$13:$H$48,4,0)+VLOOKUP("其他預付款",平衡!$D$13:$H$48,5,0)</f>
        <v>9711663</v>
      </c>
      <c r="E7" s="164" t="e">
        <f>VLOOKUP("應付代收款",平衡!$N$13:$T$48,7,0)+VLOOKUP("存入保證金",平衡!$N$13:$T$48,7,0)</f>
        <v>#N/A</v>
      </c>
      <c r="F7" s="135" t="s">
        <v>339</v>
      </c>
    </row>
    <row r="8" spans="1:8" ht="20.25" thickBot="1">
      <c r="A8" s="65" t="s">
        <v>123</v>
      </c>
      <c r="B8" s="66" t="s">
        <v>124</v>
      </c>
      <c r="C8" s="149" t="s">
        <v>340</v>
      </c>
      <c r="D8" s="165">
        <f>VLOOKUP("合計：",平衡!$A$13:$H$48,8,0)</f>
        <v>354890920</v>
      </c>
      <c r="E8" s="165" t="e">
        <f>VLOOKUP("合計：",平衡!$K$13:$T$48,10,0)</f>
        <v>#N/A</v>
      </c>
    </row>
    <row r="9" spans="1:8" ht="17.25" thickBot="1">
      <c r="A9" s="61" t="s">
        <v>125</v>
      </c>
      <c r="B9" s="62" t="s">
        <v>126</v>
      </c>
      <c r="C9" s="149" t="s">
        <v>341</v>
      </c>
      <c r="D9" s="165">
        <f>VLOOKUP("基金用途",餘絀表!$C$16:$T$48,18,0)</f>
        <v>117794097</v>
      </c>
      <c r="E9" s="165">
        <f>VLOOKUP("合       計",各項費用!$D$12:$Q$86,14)</f>
        <v>117794097</v>
      </c>
      <c r="F9" s="165" t="e">
        <f>縣庫對帳!P3</f>
        <v>#N/A</v>
      </c>
    </row>
    <row r="10" spans="1:8" ht="33.75" thickBot="1">
      <c r="A10" s="61" t="s">
        <v>127</v>
      </c>
      <c r="B10" s="62" t="s">
        <v>128</v>
      </c>
      <c r="C10" s="149" t="s">
        <v>342</v>
      </c>
      <c r="D10" s="165">
        <f>VLOOKUP("基金來源",餘絀表!$C$16:$T$48,18,0)</f>
        <v>116553492</v>
      </c>
      <c r="E10" s="165">
        <f>縣庫對帳!N3</f>
        <v>116553492</v>
      </c>
      <c r="F10" s="165"/>
      <c r="G10" s="165"/>
      <c r="H10" s="152" t="e">
        <f>D13-E13</f>
        <v>#N/A</v>
      </c>
    </row>
    <row r="11" spans="1:8" ht="27" customHeight="1">
      <c r="A11" s="603" t="s">
        <v>27</v>
      </c>
      <c r="B11" s="603" t="s">
        <v>129</v>
      </c>
      <c r="C11" s="149" t="s">
        <v>343</v>
      </c>
      <c r="D11" s="165">
        <f>VLOOKUP("政府撥入收入",餘絀表!$C$16:$T$48,18,0)</f>
        <v>116078564</v>
      </c>
      <c r="E11" s="165"/>
      <c r="F11" s="165">
        <f>VLOOKUP("政府撥入收入",收支!$B$14:$N$63,13,0)</f>
        <v>116078564</v>
      </c>
      <c r="G11" s="165">
        <f>VLOOKUP("政府撥入收入",對照表!$B$1:$E$29,4,0)</f>
        <v>116078564</v>
      </c>
    </row>
    <row r="12" spans="1:8" ht="28.5">
      <c r="A12" s="606"/>
      <c r="B12" s="606"/>
      <c r="C12" s="149" t="s">
        <v>344</v>
      </c>
      <c r="D12" s="165"/>
      <c r="E12" s="165"/>
      <c r="F12" s="165">
        <f>VLOOKUP("收入",收支!$A$14:$N$63,14,0)</f>
        <v>140829072</v>
      </c>
      <c r="G12" s="165">
        <f>VLOOKUP("基金來源",對照表!$A$1:$E$29,5,0)</f>
        <v>140829072</v>
      </c>
    </row>
    <row r="13" spans="1:8">
      <c r="A13" s="606"/>
      <c r="B13" s="606"/>
      <c r="C13" s="149" t="s">
        <v>345</v>
      </c>
      <c r="D13" s="165" t="e">
        <f>IF(封面!J10=12,0,VLOOKUP($G$13,平衡!$N$13:$T$48,7,0))</f>
        <v>#N/A</v>
      </c>
      <c r="E13" s="165">
        <f>VLOOKUP("本期賸餘（短絀）",收支!$A$14:$N$52,14,0)</f>
        <v>-1160983</v>
      </c>
      <c r="F13" s="165">
        <f>VLOOKUP("本期賸餘(短絀)",對照表!$A$1:$E$29,5,0)</f>
        <v>-1160983</v>
      </c>
      <c r="G13" s="163" t="str">
        <f>IF(E13&gt;=0,"本期賸餘","本期短絀")</f>
        <v>本期短絀</v>
      </c>
    </row>
    <row r="14" spans="1:8">
      <c r="A14" s="606"/>
      <c r="B14" s="606"/>
      <c r="C14" s="149" t="s">
        <v>346</v>
      </c>
      <c r="D14" s="165">
        <f>IF(封面!J10=12,0,VLOOKUP("本期賸餘(短絀－)",餘絀表!$C$16:$T$51,18,0))</f>
        <v>-1240605</v>
      </c>
      <c r="E14" s="165"/>
      <c r="F14" s="165">
        <f>IF(封面!J10=12,0,VLOOKUP("本期賸餘(短絀)",對照表!$A$1:$C$29,3,0))</f>
        <v>-1240605</v>
      </c>
      <c r="G14" s="163"/>
    </row>
    <row r="15" spans="1:8">
      <c r="A15" s="606"/>
      <c r="B15" s="606"/>
      <c r="C15" s="149" t="s">
        <v>347</v>
      </c>
      <c r="D15" s="165">
        <f>IF(封面!J12=12,0,VLOOKUP($G$15,平衡!$K$13:$T$48,10,0))</f>
        <v>343116147</v>
      </c>
      <c r="E15" s="165">
        <f>IF(封面!J12=12,0,VLOOKUP("期末淨資產",收支!$A$14:$N$52,14,0))</f>
        <v>343116147</v>
      </c>
      <c r="F15" s="165">
        <f>IF(封面!K12=12,0,VLOOKUP("期末基金餘額",對照表!$A$1:$E$42,5,0))</f>
        <v>343116147</v>
      </c>
      <c r="G15" s="163" t="s">
        <v>347</v>
      </c>
    </row>
    <row r="16" spans="1:8" ht="15" thickBot="1">
      <c r="A16" s="607"/>
      <c r="B16" s="607"/>
      <c r="C16" s="149" t="s">
        <v>348</v>
      </c>
      <c r="D16" s="165">
        <f>VLOOKUP("國民教育計畫",主要業務!$B$15:$J$23,7,0)</f>
        <v>9487900</v>
      </c>
      <c r="E16" s="165">
        <f>VLOOKUP("國民教育計畫",餘絀表!$C$16:$T$48,8,0)</f>
        <v>9487900</v>
      </c>
    </row>
    <row r="17" spans="1:9">
      <c r="A17" s="603" t="s">
        <v>141</v>
      </c>
      <c r="B17" s="603" t="s">
        <v>130</v>
      </c>
      <c r="C17" s="149" t="s">
        <v>349</v>
      </c>
      <c r="D17" s="165">
        <f>主要業務!H17</f>
        <v>117672097</v>
      </c>
      <c r="E17" s="165">
        <f>VLOOKUP("國民教育計畫",餘絀表!$C$16:$T$48,18,0)</f>
        <v>117672097</v>
      </c>
    </row>
    <row r="18" spans="1:9">
      <c r="A18" s="604"/>
      <c r="B18" s="606"/>
      <c r="C18" s="149" t="s">
        <v>350</v>
      </c>
      <c r="D18" s="165">
        <f>主要業務!H20</f>
        <v>45000</v>
      </c>
      <c r="E18" s="165">
        <f>VLOOKUP("建築及設備計畫",餘絀表!$C$16:$T$48,8,0)</f>
        <v>45000</v>
      </c>
    </row>
    <row r="19" spans="1:9">
      <c r="A19" s="604"/>
      <c r="B19" s="606"/>
      <c r="C19" s="149" t="s">
        <v>351</v>
      </c>
      <c r="D19" s="165">
        <f>主要業務!H22</f>
        <v>122000</v>
      </c>
      <c r="E19" s="165">
        <f>VLOOKUP("建築及設備計畫",餘絀表!$C$16:$T$48,18,0)</f>
        <v>122000</v>
      </c>
    </row>
    <row r="20" spans="1:9">
      <c r="A20" s="604"/>
      <c r="B20" s="606"/>
      <c r="C20" s="149" t="s">
        <v>352</v>
      </c>
      <c r="D20" s="165">
        <f>VLOOKUP("用人費用",各項費用!$F$12:$Q$100,12,0)</f>
        <v>114913792</v>
      </c>
      <c r="E20" s="165">
        <f>VLOOKUP("人事支出",收支!$B$14:$N$63,13,0)</f>
        <v>114913792</v>
      </c>
      <c r="F20" s="165">
        <f>VLOOKUP("用人費用",對照表!$B$1:$E$29,4,0)</f>
        <v>114913792</v>
      </c>
      <c r="G20" s="364" t="s">
        <v>461</v>
      </c>
      <c r="H20" s="549">
        <f>26251+5445</f>
        <v>31696</v>
      </c>
    </row>
    <row r="21" spans="1:9">
      <c r="A21" s="604"/>
      <c r="B21" s="606"/>
      <c r="C21" s="149" t="s">
        <v>353</v>
      </c>
      <c r="D21" s="165">
        <f>IF(E21=0,0,資產!F10+H20+H21-H22)</f>
        <v>9913197</v>
      </c>
      <c r="E21" s="165">
        <f>VLOOKUP("折舊、折耗及攤銷",收支!$B$14:$N$63,13,0)</f>
        <v>9913197</v>
      </c>
      <c r="F21" s="165">
        <f>VLOOKUP("折舊、折耗及攤銷",對照表!$H$1:$J$29,3,0)</f>
        <v>9913197</v>
      </c>
      <c r="G21" s="364" t="s">
        <v>354</v>
      </c>
      <c r="H21" s="549">
        <f>149045+21284+62368</f>
        <v>232697</v>
      </c>
      <c r="I21" s="518"/>
    </row>
    <row r="22" spans="1:9" ht="26.25">
      <c r="A22" s="604"/>
      <c r="B22" s="606"/>
      <c r="D22" s="152"/>
      <c r="E22" s="152"/>
      <c r="F22" s="152"/>
      <c r="G22" s="399" t="s">
        <v>426</v>
      </c>
      <c r="H22" s="550">
        <f>-1913549+26251</f>
        <v>-1887298</v>
      </c>
    </row>
    <row r="23" spans="1:9">
      <c r="A23" s="604"/>
      <c r="B23" s="639"/>
      <c r="C23" s="385"/>
      <c r="D23" s="401" t="str">
        <f>封面!H10&amp;封面!I10&amp;封面!J10&amp;封面!K10&amp;"會計報告各帳戶存款餘額"</f>
        <v>113年9月會計報告各帳戶存款餘額</v>
      </c>
      <c r="E23" s="404"/>
      <c r="F23" s="402"/>
      <c r="G23" s="386" t="s">
        <v>355</v>
      </c>
    </row>
    <row r="24" spans="1:9">
      <c r="A24" s="604"/>
      <c r="B24" s="639"/>
      <c r="C24" s="385"/>
      <c r="D24" s="387" t="s">
        <v>356</v>
      </c>
      <c r="E24" s="388" t="s">
        <v>357</v>
      </c>
      <c r="F24" s="389" t="s">
        <v>358</v>
      </c>
      <c r="G24" s="125"/>
      <c r="H24" s="131"/>
    </row>
    <row r="25" spans="1:9">
      <c r="A25" s="604"/>
      <c r="B25" s="639"/>
      <c r="C25" s="385" t="s">
        <v>450</v>
      </c>
      <c r="D25" s="574">
        <f>代收款!Y31</f>
        <v>1039899</v>
      </c>
      <c r="E25" s="385"/>
      <c r="F25" s="390">
        <f t="shared" ref="F25:F28" si="0">SUM(D25:E25)</f>
        <v>1039899</v>
      </c>
      <c r="G25" s="390"/>
      <c r="H25" s="131"/>
    </row>
    <row r="26" spans="1:9" ht="15" thickBot="1">
      <c r="A26" s="605"/>
      <c r="B26" s="640"/>
      <c r="C26" s="385" t="s">
        <v>453</v>
      </c>
      <c r="D26" s="391">
        <f>代收款!Y33</f>
        <v>1039963</v>
      </c>
      <c r="E26" s="391"/>
      <c r="F26" s="390">
        <f t="shared" si="0"/>
        <v>1039963</v>
      </c>
      <c r="G26" s="390"/>
      <c r="H26" s="131"/>
    </row>
    <row r="27" spans="1:9" ht="17.25" thickBot="1">
      <c r="A27" s="61" t="s">
        <v>131</v>
      </c>
      <c r="B27" s="384" t="s">
        <v>142</v>
      </c>
      <c r="C27" s="385" t="s">
        <v>451</v>
      </c>
      <c r="D27" s="521">
        <f>F27-E27</f>
        <v>6110411</v>
      </c>
      <c r="E27" s="413"/>
      <c r="F27" s="522">
        <f>F32-SUM(F25:F26,F28:F31)</f>
        <v>6110411</v>
      </c>
      <c r="G27" s="390"/>
      <c r="H27" s="131"/>
    </row>
    <row r="28" spans="1:9" ht="16.899999999999999" customHeight="1" thickBot="1">
      <c r="A28" s="61" t="s">
        <v>66</v>
      </c>
      <c r="B28" s="384" t="s">
        <v>132</v>
      </c>
      <c r="C28" s="385" t="s">
        <v>185</v>
      </c>
      <c r="D28" s="413">
        <f>代收款!Y25</f>
        <v>0</v>
      </c>
      <c r="E28" s="413"/>
      <c r="F28" s="390">
        <f t="shared" si="0"/>
        <v>0</v>
      </c>
      <c r="G28" s="390"/>
      <c r="H28" s="131"/>
      <c r="I28" s="132"/>
    </row>
    <row r="29" spans="1:9" ht="17.25" thickBot="1">
      <c r="A29" s="61" t="s">
        <v>133</v>
      </c>
      <c r="B29" s="384" t="s">
        <v>134</v>
      </c>
      <c r="C29" s="385" t="s">
        <v>464</v>
      </c>
      <c r="D29" s="413">
        <f>代收款!Y29</f>
        <v>500</v>
      </c>
      <c r="E29" s="413"/>
      <c r="F29" s="390">
        <f t="shared" ref="F29:F30" si="1">SUM(D29:E29)</f>
        <v>500</v>
      </c>
      <c r="G29" s="390"/>
      <c r="H29" s="131"/>
    </row>
    <row r="30" spans="1:9">
      <c r="A30" s="603" t="s">
        <v>135</v>
      </c>
      <c r="B30" s="638" t="s">
        <v>136</v>
      </c>
      <c r="C30" s="385" t="s">
        <v>452</v>
      </c>
      <c r="D30" s="413">
        <f>代收款!Y229</f>
        <v>657228</v>
      </c>
      <c r="E30" s="413"/>
      <c r="F30" s="390">
        <f t="shared" si="1"/>
        <v>657228</v>
      </c>
      <c r="G30" s="390"/>
      <c r="H30" s="131"/>
    </row>
    <row r="31" spans="1:9">
      <c r="A31" s="606"/>
      <c r="B31" s="639"/>
      <c r="C31" s="385"/>
      <c r="D31" s="391"/>
      <c r="E31" s="391"/>
      <c r="F31" s="390">
        <f>SUM(D31:E31)</f>
        <v>0</v>
      </c>
      <c r="G31" s="390"/>
      <c r="H31" s="131"/>
    </row>
    <row r="32" spans="1:9" ht="15" thickBot="1">
      <c r="A32" s="605"/>
      <c r="B32" s="605"/>
      <c r="C32" s="392" t="s">
        <v>359</v>
      </c>
      <c r="D32" s="393">
        <f>SUM(D25:D31)</f>
        <v>8848001</v>
      </c>
      <c r="E32" s="393">
        <f>SUM(E25:E31)</f>
        <v>0</v>
      </c>
      <c r="F32" s="520">
        <f>VLOOKUP("銀行存款-專戶存款",平衡!$E$13:$H$47,4,0)</f>
        <v>8848001</v>
      </c>
      <c r="G32" s="394">
        <f>SUM(G25:G31)</f>
        <v>0</v>
      </c>
      <c r="H32" s="131"/>
    </row>
    <row r="33" spans="1:9" ht="15" thickBot="1">
      <c r="A33" s="166"/>
      <c r="B33" s="166"/>
      <c r="C33" s="392" t="s">
        <v>424</v>
      </c>
      <c r="D33" s="636">
        <f>SUM(D32:E32)</f>
        <v>8848001</v>
      </c>
      <c r="E33" s="637"/>
      <c r="F33" s="152"/>
      <c r="G33" s="152"/>
      <c r="H33" s="131"/>
      <c r="I33" s="131"/>
    </row>
    <row r="34" spans="1:9" ht="15" thickBot="1">
      <c r="A34" s="166"/>
      <c r="B34" s="166"/>
      <c r="D34" s="149"/>
      <c r="E34" s="149"/>
      <c r="F34" s="165"/>
      <c r="G34" s="165"/>
      <c r="H34" s="152"/>
      <c r="I34" s="131"/>
    </row>
    <row r="35" spans="1:9" ht="15" thickBot="1">
      <c r="A35" s="166"/>
      <c r="B35" s="166"/>
      <c r="D35" s="149"/>
      <c r="E35" s="149"/>
      <c r="F35" s="165"/>
      <c r="G35" s="165"/>
      <c r="H35" s="152"/>
    </row>
    <row r="36" spans="1:9" ht="20.25" thickBot="1">
      <c r="A36" s="60"/>
      <c r="B36" s="60"/>
      <c r="D36" s="149"/>
      <c r="E36" s="149"/>
      <c r="F36" s="165"/>
      <c r="G36" s="165"/>
      <c r="H36" s="152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83" priority="37" stopIfTrue="1">
      <formula>$D$16&lt;&gt;$E$16</formula>
    </cfRule>
  </conditionalFormatting>
  <conditionalFormatting sqref="D17:E17">
    <cfRule type="expression" dxfId="82" priority="36" stopIfTrue="1">
      <formula>$D17&lt;&gt;$E17</formula>
    </cfRule>
  </conditionalFormatting>
  <conditionalFormatting sqref="D18:E18 E19">
    <cfRule type="expression" dxfId="81" priority="35" stopIfTrue="1">
      <formula>$D$18&lt;&gt;$E$18</formula>
    </cfRule>
  </conditionalFormatting>
  <conditionalFormatting sqref="G32">
    <cfRule type="expression" dxfId="80" priority="34" stopIfTrue="1">
      <formula>$F$34&lt;&gt;$G$34</formula>
    </cfRule>
  </conditionalFormatting>
  <conditionalFormatting sqref="G33">
    <cfRule type="expression" dxfId="79" priority="33" stopIfTrue="1">
      <formula>$H$35&lt;&gt;0</formula>
    </cfRule>
  </conditionalFormatting>
  <conditionalFormatting sqref="G34">
    <cfRule type="expression" dxfId="78" priority="32" stopIfTrue="1">
      <formula>$F$34&lt;&gt;$G$34</formula>
    </cfRule>
  </conditionalFormatting>
  <conditionalFormatting sqref="G35">
    <cfRule type="expression" dxfId="77" priority="31" stopIfTrue="1">
      <formula>$H$35&lt;&gt;0</formula>
    </cfRule>
  </conditionalFormatting>
  <conditionalFormatting sqref="G32">
    <cfRule type="expression" dxfId="76" priority="30" stopIfTrue="1">
      <formula>$F$34&lt;&gt;$G$34</formula>
    </cfRule>
  </conditionalFormatting>
  <conditionalFormatting sqref="D14 F14:F15">
    <cfRule type="expression" dxfId="75" priority="29">
      <formula>$D$14&lt;&gt;$F$14</formula>
    </cfRule>
  </conditionalFormatting>
  <conditionalFormatting sqref="F15">
    <cfRule type="expression" dxfId="74" priority="26">
      <formula>$E$15&lt;&gt;$F$15</formula>
    </cfRule>
    <cfRule type="expression" dxfId="73" priority="27">
      <formula>$D$15&lt;&gt;$F$15</formula>
    </cfRule>
    <cfRule type="expression" dxfId="72" priority="28">
      <formula>$D$14&lt;&gt;$F$14</formula>
    </cfRule>
  </conditionalFormatting>
  <conditionalFormatting sqref="D15">
    <cfRule type="expression" dxfId="71" priority="24">
      <formula>$D$15&lt;&gt;$F$15</formula>
    </cfRule>
    <cfRule type="expression" dxfId="70" priority="25">
      <formula>$D$15&lt;&gt;$E$15</formula>
    </cfRule>
  </conditionalFormatting>
  <conditionalFormatting sqref="E15">
    <cfRule type="expression" dxfId="69" priority="22">
      <formula>$E$15&lt;&gt;$F$15</formula>
    </cfRule>
    <cfRule type="expression" dxfId="68" priority="23">
      <formula>$D$15&lt;&gt;$E$15</formula>
    </cfRule>
  </conditionalFormatting>
  <conditionalFormatting sqref="D6:E6">
    <cfRule type="expression" dxfId="67" priority="21">
      <formula>$D$6&lt;&gt;$E$6</formula>
    </cfRule>
  </conditionalFormatting>
  <conditionalFormatting sqref="D8:E8">
    <cfRule type="expression" dxfId="66" priority="20">
      <formula>$D$8&lt;&gt;$E$8</formula>
    </cfRule>
  </conditionalFormatting>
  <conditionalFormatting sqref="E16:E19">
    <cfRule type="expression" dxfId="65" priority="19" stopIfTrue="1">
      <formula>#REF!&lt;&gt;#REF!</formula>
    </cfRule>
  </conditionalFormatting>
  <conditionalFormatting sqref="D20:F20">
    <cfRule type="expression" dxfId="64" priority="17">
      <formula>$D$20&lt;&gt;$E$20</formula>
    </cfRule>
  </conditionalFormatting>
  <conditionalFormatting sqref="D20:F20">
    <cfRule type="expression" dxfId="63" priority="16">
      <formula>$E$20&lt;&gt;$F$20</formula>
    </cfRule>
  </conditionalFormatting>
  <conditionalFormatting sqref="D21:F22 D23:D24 F23">
    <cfRule type="expression" dxfId="62" priority="15">
      <formula>$D$21&lt;&gt;$E$21</formula>
    </cfRule>
  </conditionalFormatting>
  <conditionalFormatting sqref="D21:F22 D23:D24 F23">
    <cfRule type="expression" dxfId="61" priority="14">
      <formula>$D$21&lt;&gt;$F$21</formula>
    </cfRule>
  </conditionalFormatting>
  <conditionalFormatting sqref="D9:F9">
    <cfRule type="expression" dxfId="60" priority="12">
      <formula>$D$9&lt;&gt;$F$9</formula>
    </cfRule>
    <cfRule type="expression" dxfId="59" priority="13">
      <formula>$D$9&lt;&gt;$E$9</formula>
    </cfRule>
  </conditionalFormatting>
  <conditionalFormatting sqref="D10:G10">
    <cfRule type="expression" dxfId="58" priority="11">
      <formula>$D$10&lt;&gt;$E$10</formula>
    </cfRule>
  </conditionalFormatting>
  <conditionalFormatting sqref="F12:G12">
    <cfRule type="expression" dxfId="57" priority="10">
      <formula>$F$12&lt;&gt;$G$12</formula>
    </cfRule>
  </conditionalFormatting>
  <conditionalFormatting sqref="F36:G36">
    <cfRule type="expression" dxfId="56" priority="9" stopIfTrue="1">
      <formula>$F$36&lt;&gt;$G$36</formula>
    </cfRule>
  </conditionalFormatting>
  <conditionalFormatting sqref="F31">
    <cfRule type="expression" dxfId="55" priority="8" stopIfTrue="1">
      <formula>$F32&lt;&gt;$G32</formula>
    </cfRule>
  </conditionalFormatting>
  <conditionalFormatting sqref="G32 F31:F32 F25:F28">
    <cfRule type="expression" dxfId="54" priority="7" stopIfTrue="1">
      <formula>$F25&lt;&gt;$G25</formula>
    </cfRule>
  </conditionalFormatting>
  <conditionalFormatting sqref="E13:F13">
    <cfRule type="expression" dxfId="53" priority="6">
      <formula>$E$13&lt;&gt;$F$13</formula>
    </cfRule>
  </conditionalFormatting>
  <conditionalFormatting sqref="E23">
    <cfRule type="expression" dxfId="52" priority="5">
      <formula>$D$21&lt;&gt;$E$21</formula>
    </cfRule>
  </conditionalFormatting>
  <conditionalFormatting sqref="E23">
    <cfRule type="expression" dxfId="51" priority="4">
      <formula>$D$21&lt;&gt;$F$21</formula>
    </cfRule>
  </conditionalFormatting>
  <conditionalFormatting sqref="F25:G25 F26:F28">
    <cfRule type="expression" dxfId="50" priority="101" stopIfTrue="1">
      <formula>#REF!&lt;&gt;#REF!</formula>
    </cfRule>
  </conditionalFormatting>
  <conditionalFormatting sqref="F29:F30">
    <cfRule type="expression" dxfId="49" priority="1" stopIfTrue="1">
      <formula>$F29&lt;&gt;$G29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6"/>
    <col min="7" max="7" width="10.42578125" style="416" bestFit="1" customWidth="1"/>
    <col min="8" max="8" width="14" style="416" customWidth="1"/>
    <col min="9" max="9" width="9.28515625" style="416" bestFit="1" customWidth="1"/>
    <col min="10" max="10" width="9.140625" style="416"/>
    <col min="11" max="12" width="6.85546875" style="416" bestFit="1" customWidth="1"/>
    <col min="13" max="13" width="11.85546875" style="416" customWidth="1"/>
    <col min="14" max="14" width="9.140625" style="416"/>
    <col min="15" max="15" width="11.7109375" style="416" bestFit="1" customWidth="1"/>
    <col min="16" max="16384" width="9.140625" style="416"/>
  </cols>
  <sheetData>
    <row r="1" spans="1:15" ht="36.75">
      <c r="A1" s="415" t="s">
        <v>471</v>
      </c>
    </row>
    <row r="4" spans="1:15" ht="36.75">
      <c r="A4" s="641" t="s">
        <v>454</v>
      </c>
      <c r="B4" s="642"/>
      <c r="C4" s="642"/>
      <c r="D4" s="642"/>
      <c r="E4" s="642"/>
      <c r="F4" s="642"/>
      <c r="G4" s="642"/>
      <c r="H4" s="642"/>
      <c r="I4" s="642"/>
      <c r="J4" s="642"/>
      <c r="K4" s="642"/>
      <c r="L4" s="642"/>
      <c r="M4" s="642"/>
      <c r="N4" s="642"/>
    </row>
    <row r="5" spans="1:15" ht="59.25" customHeight="1"/>
    <row r="6" spans="1:15" ht="59.25" customHeight="1"/>
    <row r="7" spans="1:15" ht="36.75">
      <c r="C7" s="643" t="s">
        <v>116</v>
      </c>
      <c r="D7" s="643"/>
      <c r="E7" s="643"/>
      <c r="F7" s="643"/>
      <c r="G7" s="643"/>
      <c r="H7" s="643"/>
      <c r="I7" s="643"/>
      <c r="J7" s="643"/>
      <c r="K7" s="643"/>
      <c r="L7" s="643"/>
    </row>
    <row r="8" spans="1:15" ht="51.75" customHeight="1"/>
    <row r="9" spans="1:15" ht="51.75" customHeight="1">
      <c r="O9" s="528">
        <f>IF(MOD(H10+1911,4)=0,1,0)</f>
        <v>1</v>
      </c>
    </row>
    <row r="10" spans="1:15" s="417" customFormat="1" ht="32.25">
      <c r="C10" s="418"/>
      <c r="D10" s="418"/>
      <c r="E10" s="645" t="s">
        <v>117</v>
      </c>
      <c r="F10" s="645"/>
      <c r="G10" s="645"/>
      <c r="H10" s="417">
        <v>113</v>
      </c>
      <c r="I10" s="417" t="s">
        <v>118</v>
      </c>
      <c r="J10" s="417">
        <v>9</v>
      </c>
      <c r="K10" s="419" t="s">
        <v>119</v>
      </c>
      <c r="L10" s="420" t="s">
        <v>122</v>
      </c>
      <c r="O10" s="529">
        <f>IF(J10=0,0,IF(J10=2,28+O9,IF(OR(J10=1,J10=3,J10=5,J10=7,J10=8,J10=10,J10=12),31,30)))</f>
        <v>30</v>
      </c>
    </row>
    <row r="15" spans="1:15" s="421" customFormat="1" ht="34.5" customHeight="1">
      <c r="B15" s="644" t="s">
        <v>120</v>
      </c>
      <c r="C15" s="644"/>
      <c r="D15" s="644"/>
      <c r="E15" s="644"/>
      <c r="F15" s="644"/>
      <c r="I15" s="421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1"/>
  <sheetViews>
    <sheetView showGridLines="0" showOutlineSymbols="0" view="pageBreakPreview" topLeftCell="A3" zoomScaleSheetLayoutView="100" workbookViewId="0">
      <selection activeCell="A24" sqref="A24:XFD24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1" customWidth="1"/>
    <col min="34" max="34" width="5.85546875" style="69" customWidth="1"/>
    <col min="35" max="16384" width="6.85546875" style="69"/>
  </cols>
  <sheetData>
    <row r="1" spans="2:35" ht="2.25" customHeight="1">
      <c r="AE1" s="663"/>
      <c r="AF1" s="663"/>
      <c r="AG1" s="663"/>
      <c r="AH1" s="663"/>
      <c r="AI1" s="663"/>
    </row>
    <row r="2" spans="2:35" ht="9" customHeight="1">
      <c r="B2" s="375"/>
      <c r="C2" s="667" t="str">
        <f>封面!$A$4</f>
        <v>彰化縣地方教育發展基金－彰化縣彰化市民生國民小學</v>
      </c>
      <c r="D2" s="667"/>
      <c r="E2" s="667"/>
      <c r="F2" s="667"/>
      <c r="G2" s="667"/>
      <c r="H2" s="667"/>
      <c r="I2" s="667"/>
      <c r="J2" s="667"/>
      <c r="K2" s="667"/>
      <c r="L2" s="667"/>
      <c r="M2" s="667"/>
      <c r="N2" s="667"/>
      <c r="O2" s="667"/>
      <c r="P2" s="667"/>
      <c r="Q2" s="667"/>
      <c r="R2" s="667"/>
      <c r="S2" s="667"/>
      <c r="T2" s="667"/>
      <c r="U2" s="667"/>
      <c r="V2" s="667"/>
      <c r="W2" s="667"/>
      <c r="X2" s="667"/>
      <c r="Y2" s="667"/>
      <c r="Z2" s="667"/>
      <c r="AA2" s="667"/>
      <c r="AB2" s="667"/>
      <c r="AC2" s="667"/>
      <c r="AD2" s="667"/>
      <c r="AE2" s="663"/>
      <c r="AF2" s="663"/>
      <c r="AG2" s="663"/>
      <c r="AH2" s="663"/>
      <c r="AI2" s="663"/>
    </row>
    <row r="3" spans="2:35" ht="18" customHeight="1">
      <c r="B3" s="375"/>
      <c r="C3" s="667"/>
      <c r="D3" s="667"/>
      <c r="E3" s="667"/>
      <c r="F3" s="667"/>
      <c r="G3" s="667"/>
      <c r="H3" s="667"/>
      <c r="I3" s="667"/>
      <c r="J3" s="667"/>
      <c r="K3" s="667"/>
      <c r="L3" s="667"/>
      <c r="M3" s="667"/>
      <c r="N3" s="667"/>
      <c r="O3" s="667"/>
      <c r="P3" s="667"/>
      <c r="Q3" s="667"/>
      <c r="R3" s="667"/>
      <c r="S3" s="667"/>
      <c r="T3" s="667"/>
      <c r="U3" s="667"/>
      <c r="V3" s="667"/>
      <c r="W3" s="667"/>
      <c r="X3" s="667"/>
      <c r="Y3" s="667"/>
      <c r="Z3" s="667"/>
      <c r="AA3" s="667"/>
      <c r="AB3" s="667"/>
      <c r="AC3" s="667"/>
      <c r="AD3" s="667"/>
    </row>
    <row r="4" spans="2:35" ht="24" customHeight="1">
      <c r="B4" s="664" t="s">
        <v>9</v>
      </c>
      <c r="C4" s="664"/>
      <c r="D4" s="664"/>
      <c r="E4" s="664"/>
      <c r="F4" s="664"/>
      <c r="G4" s="664"/>
      <c r="H4" s="664"/>
      <c r="I4" s="664"/>
      <c r="J4" s="664"/>
      <c r="K4" s="664"/>
      <c r="L4" s="664"/>
      <c r="M4" s="664"/>
      <c r="N4" s="664"/>
      <c r="O4" s="664"/>
      <c r="P4" s="664"/>
      <c r="Q4" s="664"/>
      <c r="R4" s="664"/>
      <c r="S4" s="664"/>
      <c r="T4" s="664"/>
      <c r="U4" s="664"/>
      <c r="V4" s="664"/>
      <c r="W4" s="664"/>
      <c r="X4" s="664"/>
      <c r="Y4" s="664"/>
      <c r="Z4" s="664"/>
      <c r="AA4" s="664"/>
      <c r="AB4" s="664"/>
      <c r="AC4" s="664"/>
      <c r="AD4" s="664"/>
    </row>
    <row r="5" spans="2:35" ht="7.5" customHeight="1">
      <c r="C5" s="665" t="str">
        <f>封面!$E$10&amp;封面!$H$10&amp;封面!$I$10&amp;封面!$J$10&amp;封面!$K$10&amp;封面!L10</f>
        <v>中華民國113年9月份</v>
      </c>
      <c r="D5" s="665"/>
      <c r="E5" s="665"/>
      <c r="F5" s="665"/>
      <c r="G5" s="665"/>
      <c r="H5" s="665"/>
      <c r="I5" s="665"/>
      <c r="J5" s="665"/>
      <c r="K5" s="665"/>
      <c r="L5" s="665"/>
      <c r="M5" s="665"/>
      <c r="N5" s="665"/>
      <c r="O5" s="665"/>
      <c r="P5" s="665"/>
      <c r="Q5" s="665"/>
      <c r="R5" s="665"/>
      <c r="S5" s="665"/>
      <c r="T5" s="665"/>
      <c r="U5" s="665"/>
      <c r="V5" s="665"/>
      <c r="W5" s="665"/>
      <c r="X5" s="665"/>
      <c r="Y5" s="665"/>
      <c r="Z5" s="665"/>
      <c r="AA5" s="665"/>
      <c r="AB5" s="665"/>
      <c r="AC5" s="665"/>
      <c r="AD5" s="665"/>
    </row>
    <row r="6" spans="2:35" ht="13.9" customHeight="1">
      <c r="C6" s="665"/>
      <c r="D6" s="665"/>
      <c r="E6" s="665"/>
      <c r="F6" s="665"/>
      <c r="G6" s="665"/>
      <c r="H6" s="665"/>
      <c r="I6" s="665"/>
      <c r="J6" s="665"/>
      <c r="K6" s="665"/>
      <c r="L6" s="665"/>
      <c r="M6" s="665"/>
      <c r="N6" s="665"/>
      <c r="O6" s="665"/>
      <c r="P6" s="665"/>
      <c r="Q6" s="665"/>
      <c r="R6" s="665"/>
      <c r="S6" s="665"/>
      <c r="T6" s="665"/>
      <c r="U6" s="665"/>
      <c r="V6" s="665"/>
      <c r="W6" s="665"/>
      <c r="X6" s="665"/>
      <c r="Y6" s="665"/>
      <c r="Z6" s="665"/>
      <c r="AA6" s="665"/>
      <c r="AB6" s="665"/>
      <c r="AC6" s="665"/>
      <c r="AD6" s="665"/>
    </row>
    <row r="7" spans="2:35" ht="16.149999999999999" customHeight="1">
      <c r="Y7" s="666" t="s">
        <v>1</v>
      </c>
      <c r="Z7" s="666"/>
      <c r="AA7" s="666"/>
      <c r="AB7" s="666"/>
      <c r="AC7" s="666"/>
      <c r="AD7" s="666"/>
    </row>
    <row r="8" spans="2:35" ht="3.75" customHeight="1"/>
    <row r="9" spans="2:35" s="70" customFormat="1" ht="12.75" customHeight="1">
      <c r="C9" s="660" t="s">
        <v>360</v>
      </c>
      <c r="D9" s="660"/>
      <c r="E9" s="374"/>
      <c r="F9" s="374"/>
      <c r="G9" s="648" t="s">
        <v>428</v>
      </c>
      <c r="H9" s="374"/>
      <c r="I9" s="374"/>
      <c r="J9" s="654" t="s">
        <v>10</v>
      </c>
      <c r="K9" s="655"/>
      <c r="L9" s="655"/>
      <c r="M9" s="655"/>
      <c r="N9" s="655"/>
      <c r="O9" s="655"/>
      <c r="P9" s="655"/>
      <c r="Q9" s="656"/>
      <c r="R9" s="374"/>
      <c r="S9" s="374"/>
      <c r="T9" s="654" t="s">
        <v>11</v>
      </c>
      <c r="U9" s="655"/>
      <c r="V9" s="655"/>
      <c r="W9" s="655"/>
      <c r="X9" s="655"/>
      <c r="Y9" s="655"/>
      <c r="Z9" s="655"/>
      <c r="AA9" s="655"/>
      <c r="AB9" s="655"/>
      <c r="AC9" s="655"/>
      <c r="AD9" s="656"/>
      <c r="AG9" s="182"/>
    </row>
    <row r="10" spans="2:35" s="70" customFormat="1" ht="15.6" hidden="1" customHeight="1">
      <c r="C10" s="374"/>
      <c r="D10" s="403"/>
      <c r="E10" s="374"/>
      <c r="F10" s="374"/>
      <c r="G10" s="649"/>
      <c r="H10" s="373"/>
      <c r="I10" s="374"/>
      <c r="J10" s="657"/>
      <c r="K10" s="658"/>
      <c r="L10" s="658"/>
      <c r="M10" s="658"/>
      <c r="N10" s="658"/>
      <c r="O10" s="658"/>
      <c r="P10" s="658"/>
      <c r="Q10" s="659"/>
      <c r="R10" s="374"/>
      <c r="S10" s="374"/>
      <c r="T10" s="657"/>
      <c r="U10" s="658"/>
      <c r="V10" s="658"/>
      <c r="W10" s="658"/>
      <c r="X10" s="658"/>
      <c r="Y10" s="658"/>
      <c r="Z10" s="658"/>
      <c r="AA10" s="658"/>
      <c r="AB10" s="658"/>
      <c r="AC10" s="658"/>
      <c r="AD10" s="659"/>
      <c r="AG10" s="182"/>
    </row>
    <row r="11" spans="2:35" s="70" customFormat="1" ht="25.15" hidden="1" customHeight="1">
      <c r="C11" s="374"/>
      <c r="D11" s="374"/>
      <c r="E11" s="374"/>
      <c r="F11" s="374"/>
      <c r="G11" s="649"/>
      <c r="H11" s="373"/>
      <c r="I11" s="374"/>
      <c r="J11" s="374"/>
      <c r="K11" s="374"/>
      <c r="L11" s="374"/>
      <c r="M11" s="374"/>
      <c r="N11" s="374"/>
      <c r="O11" s="374"/>
      <c r="P11" s="374"/>
      <c r="Q11" s="374"/>
      <c r="R11" s="374"/>
      <c r="S11" s="374"/>
      <c r="T11" s="374"/>
      <c r="U11" s="374"/>
      <c r="V11" s="374"/>
      <c r="W11" s="374"/>
      <c r="X11" s="374"/>
      <c r="Y11" s="374"/>
      <c r="Z11" s="374"/>
      <c r="AA11" s="374"/>
      <c r="AB11" s="374"/>
      <c r="AC11" s="374"/>
      <c r="AD11" s="374"/>
      <c r="AG11" s="182"/>
    </row>
    <row r="12" spans="2:35" s="70" customFormat="1" ht="15" customHeight="1">
      <c r="C12" s="661" t="s">
        <v>427</v>
      </c>
      <c r="D12" s="660" t="s">
        <v>7</v>
      </c>
      <c r="E12" s="374"/>
      <c r="F12" s="374"/>
      <c r="G12" s="649"/>
      <c r="H12" s="373"/>
      <c r="I12" s="374"/>
      <c r="J12" s="648" t="s">
        <v>13</v>
      </c>
      <c r="K12" s="648" t="s">
        <v>13</v>
      </c>
      <c r="L12" s="374"/>
      <c r="M12" s="648" t="s">
        <v>14</v>
      </c>
      <c r="N12" s="654" t="s">
        <v>12</v>
      </c>
      <c r="O12" s="655"/>
      <c r="P12" s="655"/>
      <c r="Q12" s="655"/>
      <c r="R12" s="656"/>
      <c r="S12" s="374"/>
      <c r="T12" s="651" t="s">
        <v>361</v>
      </c>
      <c r="U12" s="374"/>
      <c r="V12" s="374"/>
      <c r="W12" s="654" t="s">
        <v>14</v>
      </c>
      <c r="X12" s="655"/>
      <c r="Y12" s="656"/>
      <c r="Z12" s="374"/>
      <c r="AA12" s="671" t="s">
        <v>12</v>
      </c>
      <c r="AB12" s="672"/>
      <c r="AC12" s="672"/>
      <c r="AD12" s="673"/>
      <c r="AG12" s="182"/>
    </row>
    <row r="13" spans="2:35" s="70" customFormat="1" ht="14.25" customHeight="1">
      <c r="C13" s="662"/>
      <c r="D13" s="660"/>
      <c r="E13" s="376"/>
      <c r="F13" s="374"/>
      <c r="G13" s="649"/>
      <c r="H13" s="373"/>
      <c r="I13" s="374"/>
      <c r="J13" s="649"/>
      <c r="K13" s="649"/>
      <c r="L13" s="374"/>
      <c r="M13" s="649"/>
      <c r="N13" s="657"/>
      <c r="O13" s="658"/>
      <c r="P13" s="658"/>
      <c r="Q13" s="658"/>
      <c r="R13" s="659"/>
      <c r="S13" s="374"/>
      <c r="T13" s="652"/>
      <c r="U13" s="646"/>
      <c r="V13" s="374"/>
      <c r="W13" s="668"/>
      <c r="X13" s="669"/>
      <c r="Y13" s="670"/>
      <c r="Z13" s="374"/>
      <c r="AA13" s="674"/>
      <c r="AB13" s="675"/>
      <c r="AC13" s="675"/>
      <c r="AD13" s="676"/>
      <c r="AG13" s="182"/>
    </row>
    <row r="14" spans="2:35" s="70" customFormat="1" ht="13.5" hidden="1" customHeight="1">
      <c r="C14" s="662"/>
      <c r="D14" s="660"/>
      <c r="E14" s="376"/>
      <c r="F14" s="374"/>
      <c r="G14" s="649"/>
      <c r="H14" s="374"/>
      <c r="I14" s="374"/>
      <c r="J14" s="649"/>
      <c r="K14" s="649"/>
      <c r="L14" s="374"/>
      <c r="M14" s="649"/>
      <c r="N14" s="648" t="s">
        <v>4</v>
      </c>
      <c r="O14" s="648" t="s">
        <v>4</v>
      </c>
      <c r="P14" s="374"/>
      <c r="Q14" s="654" t="s">
        <v>5</v>
      </c>
      <c r="R14" s="656"/>
      <c r="S14" s="374"/>
      <c r="T14" s="652"/>
      <c r="U14" s="647"/>
      <c r="V14" s="374"/>
      <c r="W14" s="668"/>
      <c r="X14" s="669"/>
      <c r="Y14" s="670"/>
      <c r="Z14" s="374"/>
      <c r="AA14" s="646" t="s">
        <v>4</v>
      </c>
      <c r="AB14" s="374"/>
      <c r="AC14" s="374"/>
      <c r="AD14" s="646" t="s">
        <v>5</v>
      </c>
      <c r="AG14" s="182"/>
    </row>
    <row r="15" spans="2:35" s="70" customFormat="1" ht="18" customHeight="1">
      <c r="C15" s="662"/>
      <c r="D15" s="660"/>
      <c r="E15" s="376"/>
      <c r="F15" s="374"/>
      <c r="G15" s="650"/>
      <c r="H15" s="374"/>
      <c r="I15" s="374"/>
      <c r="J15" s="650"/>
      <c r="K15" s="650"/>
      <c r="L15" s="374"/>
      <c r="M15" s="650"/>
      <c r="N15" s="650"/>
      <c r="O15" s="650"/>
      <c r="P15" s="374"/>
      <c r="Q15" s="657"/>
      <c r="R15" s="659"/>
      <c r="S15" s="374"/>
      <c r="T15" s="653"/>
      <c r="U15" s="374"/>
      <c r="V15" s="374"/>
      <c r="W15" s="657"/>
      <c r="X15" s="658"/>
      <c r="Y15" s="659"/>
      <c r="Z15" s="374"/>
      <c r="AA15" s="647"/>
      <c r="AB15" s="374"/>
      <c r="AC15" s="374"/>
      <c r="AD15" s="647"/>
      <c r="AG15" s="182"/>
    </row>
    <row r="16" spans="2:35" ht="15">
      <c r="C16" s="325" t="s">
        <v>15</v>
      </c>
      <c r="D16" s="360" t="s">
        <v>362</v>
      </c>
      <c r="E16" s="326"/>
      <c r="F16" s="71"/>
      <c r="G16" s="142">
        <v>136810000</v>
      </c>
      <c r="H16" s="142"/>
      <c r="I16" s="142"/>
      <c r="J16" s="142">
        <v>9821670</v>
      </c>
      <c r="K16" s="142"/>
      <c r="L16" s="142"/>
      <c r="M16" s="142">
        <v>9774000</v>
      </c>
      <c r="N16" s="143">
        <v>47670</v>
      </c>
      <c r="O16" s="143"/>
      <c r="P16" s="92"/>
      <c r="Q16" s="148">
        <v>0.48772252915899322</v>
      </c>
      <c r="R16" s="92"/>
      <c r="S16" s="174"/>
      <c r="T16" s="176">
        <v>116553492</v>
      </c>
      <c r="U16" s="142"/>
      <c r="V16" s="143"/>
      <c r="W16" s="179">
        <v>116827000</v>
      </c>
      <c r="X16" s="176"/>
      <c r="Y16" s="142"/>
      <c r="Z16" s="143"/>
      <c r="AA16" s="147">
        <v>-273508</v>
      </c>
      <c r="AB16" s="92"/>
      <c r="AC16" s="92"/>
      <c r="AD16" s="148">
        <v>-0.23411368947246783</v>
      </c>
      <c r="AF16" s="69">
        <v>1</v>
      </c>
      <c r="AG16" s="181" t="str">
        <f>IF(LEN(D16)&lt;3,"",IF(OR(ABS(AD16)&gt;10,ABS(AA16)&gt;10000000,AND(T16&gt;0,W16=0)),"填寫說明",""))</f>
        <v/>
      </c>
    </row>
    <row r="17" spans="3:34" ht="15">
      <c r="C17" s="342" t="s">
        <v>16</v>
      </c>
      <c r="D17" s="360" t="s">
        <v>363</v>
      </c>
      <c r="E17" s="344"/>
      <c r="F17" s="73"/>
      <c r="G17" s="144">
        <v>600000</v>
      </c>
      <c r="H17" s="144"/>
      <c r="I17" s="144"/>
      <c r="J17" s="144">
        <v>45840</v>
      </c>
      <c r="K17" s="145"/>
      <c r="L17" s="145"/>
      <c r="M17" s="145">
        <v>50000</v>
      </c>
      <c r="N17" s="145">
        <v>-4160</v>
      </c>
      <c r="O17" s="145"/>
      <c r="P17" s="93"/>
      <c r="Q17" s="95">
        <v>-8.32</v>
      </c>
      <c r="R17" s="93"/>
      <c r="S17" s="175"/>
      <c r="T17" s="178">
        <v>214215</v>
      </c>
      <c r="U17" s="145"/>
      <c r="V17" s="145"/>
      <c r="W17" s="180">
        <v>450000</v>
      </c>
      <c r="X17" s="177"/>
      <c r="Y17" s="145"/>
      <c r="Z17" s="145"/>
      <c r="AA17" s="145">
        <v>-235785</v>
      </c>
      <c r="AB17" s="93"/>
      <c r="AC17" s="93"/>
      <c r="AD17" s="95">
        <v>-52.396666666666668</v>
      </c>
      <c r="AF17" s="69">
        <v>4</v>
      </c>
      <c r="AG17" s="181" t="str">
        <f t="shared" ref="AG17:AG48" si="0">IF(LEN(D17)&lt;3,"",IF(OR(ABS(AD17)&gt;10,ABS(AA17)&gt;10000000,AND(T17&gt;0,W17=0)),"填寫說明",""))</f>
        <v/>
      </c>
    </row>
    <row r="18" spans="3:34" ht="15">
      <c r="C18" s="345" t="s">
        <v>17</v>
      </c>
      <c r="D18" s="360" t="s">
        <v>364</v>
      </c>
      <c r="E18" s="343"/>
      <c r="F18" s="73"/>
      <c r="G18" s="144">
        <v>600000</v>
      </c>
      <c r="H18" s="144"/>
      <c r="I18" s="144"/>
      <c r="J18" s="144">
        <v>45840</v>
      </c>
      <c r="K18" s="145"/>
      <c r="L18" s="145"/>
      <c r="M18" s="145">
        <v>50000</v>
      </c>
      <c r="N18" s="145">
        <v>-4160</v>
      </c>
      <c r="O18" s="145"/>
      <c r="P18" s="93"/>
      <c r="Q18" s="95">
        <v>-8.32</v>
      </c>
      <c r="R18" s="93"/>
      <c r="S18" s="175"/>
      <c r="T18" s="178">
        <v>214215</v>
      </c>
      <c r="U18" s="145"/>
      <c r="V18" s="145"/>
      <c r="W18" s="180">
        <v>450000</v>
      </c>
      <c r="X18" s="177"/>
      <c r="Y18" s="145"/>
      <c r="Z18" s="145"/>
      <c r="AA18" s="145">
        <v>-235785</v>
      </c>
      <c r="AB18" s="93"/>
      <c r="AC18" s="93"/>
      <c r="AD18" s="95">
        <v>-52.396666666666668</v>
      </c>
      <c r="AF18" s="69">
        <v>5</v>
      </c>
      <c r="AG18" s="181" t="str">
        <f t="shared" si="0"/>
        <v>填寫說明</v>
      </c>
    </row>
    <row r="19" spans="3:34" ht="15">
      <c r="C19" s="342" t="s">
        <v>18</v>
      </c>
      <c r="D19" s="360" t="s">
        <v>365</v>
      </c>
      <c r="E19" s="344"/>
      <c r="F19" s="73"/>
      <c r="G19" s="144">
        <v>62000</v>
      </c>
      <c r="H19" s="144"/>
      <c r="I19" s="144"/>
      <c r="J19" s="144">
        <v>500</v>
      </c>
      <c r="K19" s="144"/>
      <c r="L19" s="144"/>
      <c r="M19" s="144"/>
      <c r="N19" s="145">
        <v>500</v>
      </c>
      <c r="O19" s="145"/>
      <c r="P19" s="93"/>
      <c r="Q19" s="95"/>
      <c r="R19" s="93"/>
      <c r="S19" s="175"/>
      <c r="T19" s="178">
        <v>46345</v>
      </c>
      <c r="U19" s="144"/>
      <c r="V19" s="145"/>
      <c r="W19" s="180">
        <v>33000</v>
      </c>
      <c r="X19" s="178"/>
      <c r="Y19" s="144"/>
      <c r="Z19" s="145"/>
      <c r="AA19" s="145">
        <v>13345</v>
      </c>
      <c r="AB19" s="93"/>
      <c r="AC19" s="93"/>
      <c r="AD19" s="95">
        <v>40.439393939393938</v>
      </c>
      <c r="AF19" s="69">
        <v>6</v>
      </c>
      <c r="AG19" s="181" t="str">
        <f t="shared" si="0"/>
        <v/>
      </c>
    </row>
    <row r="20" spans="3:34" ht="15">
      <c r="C20" s="345" t="s">
        <v>366</v>
      </c>
      <c r="D20" s="360">
        <v>451</v>
      </c>
      <c r="E20" s="73"/>
      <c r="F20" s="73"/>
      <c r="G20" s="144">
        <v>12000</v>
      </c>
      <c r="H20" s="144"/>
      <c r="I20" s="144"/>
      <c r="J20" s="144">
        <v>500</v>
      </c>
      <c r="K20" s="144"/>
      <c r="L20" s="144"/>
      <c r="M20" s="144"/>
      <c r="N20" s="145">
        <v>500</v>
      </c>
      <c r="O20" s="145"/>
      <c r="P20" s="93"/>
      <c r="Q20" s="95"/>
      <c r="R20" s="93"/>
      <c r="S20" s="175"/>
      <c r="T20" s="355">
        <v>10234</v>
      </c>
      <c r="U20" s="144"/>
      <c r="V20" s="145"/>
      <c r="W20" s="355">
        <v>8000</v>
      </c>
      <c r="X20" s="178"/>
      <c r="Y20" s="144"/>
      <c r="Z20" s="145"/>
      <c r="AA20" s="145">
        <v>2234</v>
      </c>
      <c r="AB20" s="93"/>
      <c r="AC20" s="93"/>
      <c r="AD20" s="95">
        <v>27.925000000000001</v>
      </c>
      <c r="AF20" s="69">
        <v>7</v>
      </c>
      <c r="AG20" s="181" t="str">
        <f t="shared" si="0"/>
        <v>填寫說明</v>
      </c>
    </row>
    <row r="21" spans="3:34" ht="15">
      <c r="C21" s="345" t="s">
        <v>19</v>
      </c>
      <c r="D21" s="360" t="s">
        <v>367</v>
      </c>
      <c r="E21" s="344"/>
      <c r="F21" s="73"/>
      <c r="G21" s="144">
        <v>50000</v>
      </c>
      <c r="H21" s="144"/>
      <c r="I21" s="144"/>
      <c r="J21" s="144"/>
      <c r="K21" s="145"/>
      <c r="L21" s="145"/>
      <c r="M21" s="145"/>
      <c r="N21" s="145"/>
      <c r="O21" s="145"/>
      <c r="P21" s="93"/>
      <c r="Q21" s="95"/>
      <c r="R21" s="93"/>
      <c r="S21" s="175"/>
      <c r="T21" s="178">
        <v>36111</v>
      </c>
      <c r="U21" s="145"/>
      <c r="V21" s="145"/>
      <c r="W21" s="180">
        <v>25000</v>
      </c>
      <c r="X21" s="178"/>
      <c r="Y21" s="144"/>
      <c r="Z21" s="144"/>
      <c r="AA21" s="144">
        <v>11111</v>
      </c>
      <c r="AB21" s="93"/>
      <c r="AC21" s="95"/>
      <c r="AD21" s="95">
        <v>44.443999999999996</v>
      </c>
      <c r="AF21" s="69">
        <v>8</v>
      </c>
      <c r="AG21" s="181" t="str">
        <f t="shared" si="0"/>
        <v>填寫說明</v>
      </c>
    </row>
    <row r="22" spans="3:34" ht="15">
      <c r="C22" s="342" t="s">
        <v>368</v>
      </c>
      <c r="D22" s="360" t="s">
        <v>369</v>
      </c>
      <c r="E22" s="343"/>
      <c r="F22" s="73"/>
      <c r="G22" s="144">
        <v>136143000</v>
      </c>
      <c r="H22" s="144"/>
      <c r="I22" s="144"/>
      <c r="J22" s="144">
        <v>9768512</v>
      </c>
      <c r="K22" s="145"/>
      <c r="L22" s="145"/>
      <c r="M22" s="145">
        <v>9724000</v>
      </c>
      <c r="N22" s="145">
        <v>44512</v>
      </c>
      <c r="O22" s="145"/>
      <c r="P22" s="93"/>
      <c r="Q22" s="95">
        <v>0.45775401069518723</v>
      </c>
      <c r="R22" s="93"/>
      <c r="S22" s="175"/>
      <c r="T22" s="178">
        <v>116078564</v>
      </c>
      <c r="U22" s="145"/>
      <c r="V22" s="145"/>
      <c r="W22" s="180">
        <v>116344000</v>
      </c>
      <c r="X22" s="178"/>
      <c r="Y22" s="144"/>
      <c r="Z22" s="144"/>
      <c r="AA22" s="144">
        <v>-265436</v>
      </c>
      <c r="AB22" s="93"/>
      <c r="AC22" s="95"/>
      <c r="AD22" s="95">
        <v>-0.22814756240115522</v>
      </c>
      <c r="AF22" s="69">
        <v>9</v>
      </c>
      <c r="AG22" s="181" t="str">
        <f t="shared" si="0"/>
        <v/>
      </c>
    </row>
    <row r="23" spans="3:34" ht="15">
      <c r="C23" s="345" t="s">
        <v>21</v>
      </c>
      <c r="D23" s="360" t="s">
        <v>370</v>
      </c>
      <c r="E23" s="344"/>
      <c r="F23" s="73"/>
      <c r="G23" s="144">
        <v>136143000</v>
      </c>
      <c r="H23" s="144"/>
      <c r="I23" s="144"/>
      <c r="J23" s="144">
        <v>9768512</v>
      </c>
      <c r="K23" s="144"/>
      <c r="L23" s="144"/>
      <c r="M23" s="144">
        <v>9724000</v>
      </c>
      <c r="N23" s="144">
        <v>44512</v>
      </c>
      <c r="O23" s="144"/>
      <c r="P23" s="94"/>
      <c r="Q23" s="95">
        <v>0.45775401069518723</v>
      </c>
      <c r="R23" s="95"/>
      <c r="S23" s="175"/>
      <c r="T23" s="178">
        <v>116078564</v>
      </c>
      <c r="U23" s="144"/>
      <c r="V23" s="145"/>
      <c r="W23" s="180">
        <v>116344000</v>
      </c>
      <c r="X23" s="178"/>
      <c r="Y23" s="144"/>
      <c r="Z23" s="144"/>
      <c r="AA23" s="144">
        <v>-265436</v>
      </c>
      <c r="AB23" s="93"/>
      <c r="AC23" s="95"/>
      <c r="AD23" s="95">
        <v>-0.22814756240115522</v>
      </c>
      <c r="AF23" s="69">
        <v>10</v>
      </c>
      <c r="AG23" s="181" t="str">
        <f t="shared" si="0"/>
        <v/>
      </c>
    </row>
    <row r="24" spans="3:34" ht="15">
      <c r="C24" s="140" t="s">
        <v>183</v>
      </c>
      <c r="D24" s="360" t="s">
        <v>371</v>
      </c>
      <c r="E24" s="73"/>
      <c r="F24" s="73"/>
      <c r="G24" s="144">
        <v>5000</v>
      </c>
      <c r="H24" s="144"/>
      <c r="I24" s="144"/>
      <c r="J24" s="144">
        <v>6818</v>
      </c>
      <c r="K24" s="144"/>
      <c r="L24" s="144"/>
      <c r="M24" s="144"/>
      <c r="N24" s="144">
        <v>6818</v>
      </c>
      <c r="O24" s="144"/>
      <c r="P24" s="94"/>
      <c r="Q24" s="95"/>
      <c r="R24" s="95"/>
      <c r="S24" s="175"/>
      <c r="T24" s="178">
        <v>214368</v>
      </c>
      <c r="U24" s="144"/>
      <c r="V24" s="145"/>
      <c r="W24" s="180"/>
      <c r="X24" s="178"/>
      <c r="Y24" s="144"/>
      <c r="Z24" s="144"/>
      <c r="AA24" s="144">
        <v>214368</v>
      </c>
      <c r="AB24" s="93"/>
      <c r="AC24" s="95"/>
      <c r="AD24" s="95"/>
      <c r="AF24" s="69">
        <v>11</v>
      </c>
      <c r="AG24" s="181" t="str">
        <f t="shared" si="0"/>
        <v/>
      </c>
    </row>
    <row r="25" spans="3:34" ht="15">
      <c r="C25" s="141" t="s">
        <v>372</v>
      </c>
      <c r="D25" s="360" t="s">
        <v>373</v>
      </c>
      <c r="E25" s="73"/>
      <c r="F25" s="73"/>
      <c r="G25" s="144">
        <v>5000</v>
      </c>
      <c r="H25" s="144"/>
      <c r="I25" s="144"/>
      <c r="J25" s="144">
        <v>6818</v>
      </c>
      <c r="K25" s="144"/>
      <c r="L25" s="144"/>
      <c r="M25" s="144"/>
      <c r="N25" s="144">
        <v>6818</v>
      </c>
      <c r="O25" s="144"/>
      <c r="P25" s="94"/>
      <c r="Q25" s="95"/>
      <c r="R25" s="95"/>
      <c r="S25" s="175"/>
      <c r="T25" s="178">
        <v>214368</v>
      </c>
      <c r="U25" s="144"/>
      <c r="V25" s="145"/>
      <c r="W25" s="180"/>
      <c r="X25" s="178"/>
      <c r="Y25" s="144"/>
      <c r="Z25" s="144"/>
      <c r="AA25" s="144">
        <v>214368</v>
      </c>
      <c r="AB25" s="93"/>
      <c r="AC25" s="95"/>
      <c r="AD25" s="95"/>
      <c r="AF25" s="69">
        <v>12</v>
      </c>
      <c r="AG25" s="181" t="str">
        <f t="shared" si="0"/>
        <v>填寫說明</v>
      </c>
    </row>
    <row r="26" spans="3:34" ht="15">
      <c r="C26" s="136" t="s">
        <v>166</v>
      </c>
      <c r="D26" s="360" t="s">
        <v>374</v>
      </c>
      <c r="E26" s="73"/>
      <c r="F26" s="73"/>
      <c r="G26" s="144">
        <v>138421000</v>
      </c>
      <c r="H26" s="144"/>
      <c r="I26" s="144"/>
      <c r="J26" s="144">
        <v>9532900</v>
      </c>
      <c r="K26" s="144"/>
      <c r="L26" s="144"/>
      <c r="M26" s="145">
        <v>9774000</v>
      </c>
      <c r="N26" s="144">
        <v>-241100</v>
      </c>
      <c r="O26" s="144"/>
      <c r="P26" s="94"/>
      <c r="Q26" s="95">
        <v>-2.4667485164722733</v>
      </c>
      <c r="R26" s="93"/>
      <c r="S26" s="93"/>
      <c r="T26" s="144">
        <v>117794097</v>
      </c>
      <c r="U26" s="144"/>
      <c r="V26" s="145"/>
      <c r="W26" s="144">
        <v>118438000</v>
      </c>
      <c r="X26" s="144"/>
      <c r="Y26" s="144"/>
      <c r="Z26" s="144"/>
      <c r="AA26" s="144">
        <v>-643903</v>
      </c>
      <c r="AB26" s="93"/>
      <c r="AC26" s="95"/>
      <c r="AD26" s="95">
        <v>-0.54366250696566976</v>
      </c>
      <c r="AF26" s="69">
        <v>13</v>
      </c>
      <c r="AG26" s="181" t="str">
        <f t="shared" si="0"/>
        <v/>
      </c>
    </row>
    <row r="27" spans="3:34" ht="15">
      <c r="C27" s="140" t="s">
        <v>22</v>
      </c>
      <c r="D27" s="360" t="s">
        <v>375</v>
      </c>
      <c r="E27" s="136"/>
      <c r="F27" s="73"/>
      <c r="G27" s="144">
        <v>138221000</v>
      </c>
      <c r="H27" s="144"/>
      <c r="I27" s="144"/>
      <c r="J27" s="144">
        <v>9487900</v>
      </c>
      <c r="K27" s="144"/>
      <c r="L27" s="144"/>
      <c r="M27" s="145">
        <v>9674000</v>
      </c>
      <c r="N27" s="144">
        <v>-186100</v>
      </c>
      <c r="O27" s="144"/>
      <c r="P27" s="94"/>
      <c r="Q27" s="95">
        <v>-1.9237130452759976</v>
      </c>
      <c r="R27" s="93"/>
      <c r="S27" s="93"/>
      <c r="T27" s="144">
        <v>117672097</v>
      </c>
      <c r="U27" s="144"/>
      <c r="V27" s="145"/>
      <c r="W27" s="144">
        <v>118238000</v>
      </c>
      <c r="X27" s="144"/>
      <c r="Y27" s="144"/>
      <c r="Z27" s="144"/>
      <c r="AA27" s="144">
        <v>-565903</v>
      </c>
      <c r="AB27" s="93"/>
      <c r="AC27" s="95"/>
      <c r="AD27" s="95">
        <v>-0.47861347451749864</v>
      </c>
      <c r="AF27" s="69">
        <v>14</v>
      </c>
      <c r="AG27" s="181" t="str">
        <f t="shared" si="0"/>
        <v/>
      </c>
    </row>
    <row r="28" spans="3:34" ht="15">
      <c r="C28" s="141" t="s">
        <v>430</v>
      </c>
      <c r="D28" s="360">
        <v>532</v>
      </c>
      <c r="E28" s="136"/>
      <c r="F28" s="73"/>
      <c r="G28" s="144">
        <v>138221000</v>
      </c>
      <c r="H28" s="144"/>
      <c r="I28" s="144"/>
      <c r="J28" s="144">
        <v>9487900</v>
      </c>
      <c r="K28" s="144"/>
      <c r="L28" s="144"/>
      <c r="M28" s="145">
        <v>9674000</v>
      </c>
      <c r="N28" s="144">
        <v>-186100</v>
      </c>
      <c r="O28" s="144"/>
      <c r="P28" s="94"/>
      <c r="Q28" s="95">
        <v>-1.9237130452759976</v>
      </c>
      <c r="R28" s="93"/>
      <c r="S28" s="93"/>
      <c r="T28" s="144">
        <v>117672097</v>
      </c>
      <c r="U28" s="144"/>
      <c r="V28" s="145"/>
      <c r="W28" s="144">
        <v>118238000</v>
      </c>
      <c r="X28" s="144"/>
      <c r="Y28" s="144"/>
      <c r="Z28" s="144"/>
      <c r="AA28" s="144">
        <v>-565903</v>
      </c>
      <c r="AB28" s="93"/>
      <c r="AC28" s="95"/>
      <c r="AD28" s="95">
        <v>-0.47861347451749864</v>
      </c>
      <c r="AF28" s="69">
        <v>15</v>
      </c>
      <c r="AG28" s="181" t="str">
        <f t="shared" si="0"/>
        <v/>
      </c>
      <c r="AH28" s="181">
        <f t="shared" ref="AH28:AH31" si="1">IF(AA28&gt;0,"超支",0)</f>
        <v>0</v>
      </c>
    </row>
    <row r="29" spans="3:34" ht="15">
      <c r="C29" s="140" t="s">
        <v>23</v>
      </c>
      <c r="D29" s="360" t="s">
        <v>446</v>
      </c>
      <c r="E29" s="136"/>
      <c r="F29" s="73"/>
      <c r="G29" s="144">
        <v>200000</v>
      </c>
      <c r="H29" s="144"/>
      <c r="I29" s="144"/>
      <c r="J29" s="144">
        <v>45000</v>
      </c>
      <c r="K29" s="144"/>
      <c r="L29" s="144"/>
      <c r="M29" s="145">
        <v>100000</v>
      </c>
      <c r="N29" s="144">
        <v>-55000</v>
      </c>
      <c r="O29" s="144"/>
      <c r="P29" s="94"/>
      <c r="Q29" s="95">
        <v>-55</v>
      </c>
      <c r="R29" s="93"/>
      <c r="S29" s="93"/>
      <c r="T29" s="144">
        <v>122000</v>
      </c>
      <c r="U29" s="144"/>
      <c r="V29" s="145"/>
      <c r="W29" s="144">
        <v>200000</v>
      </c>
      <c r="X29" s="144"/>
      <c r="Y29" s="144"/>
      <c r="Z29" s="144"/>
      <c r="AA29" s="144">
        <v>-78000</v>
      </c>
      <c r="AB29" s="93"/>
      <c r="AC29" s="95"/>
      <c r="AD29" s="95">
        <v>-39</v>
      </c>
      <c r="AF29" s="69">
        <v>16</v>
      </c>
      <c r="AG29" s="181" t="str">
        <f t="shared" si="0"/>
        <v/>
      </c>
      <c r="AH29" s="181"/>
    </row>
    <row r="30" spans="3:34" ht="15">
      <c r="C30" s="141" t="s">
        <v>48</v>
      </c>
      <c r="D30" s="360" t="s">
        <v>447</v>
      </c>
      <c r="E30" s="136"/>
      <c r="F30" s="73"/>
      <c r="G30" s="144">
        <v>50000</v>
      </c>
      <c r="H30" s="144"/>
      <c r="I30" s="144"/>
      <c r="J30" s="144"/>
      <c r="K30" s="144"/>
      <c r="L30" s="144"/>
      <c r="M30" s="145">
        <v>50000</v>
      </c>
      <c r="N30" s="144">
        <v>-50000</v>
      </c>
      <c r="O30" s="144"/>
      <c r="P30" s="94"/>
      <c r="Q30" s="95">
        <v>-100</v>
      </c>
      <c r="R30" s="93"/>
      <c r="S30" s="93"/>
      <c r="T30" s="144">
        <v>32000</v>
      </c>
      <c r="U30" s="144"/>
      <c r="V30" s="145"/>
      <c r="W30" s="144">
        <v>50000</v>
      </c>
      <c r="X30" s="144"/>
      <c r="Y30" s="144"/>
      <c r="Z30" s="144"/>
      <c r="AA30" s="144">
        <v>-18000</v>
      </c>
      <c r="AB30" s="93"/>
      <c r="AC30" s="95"/>
      <c r="AD30" s="95">
        <v>-36</v>
      </c>
      <c r="AF30" s="69">
        <v>17</v>
      </c>
      <c r="AG30" s="181" t="str">
        <f t="shared" si="0"/>
        <v>填寫說明</v>
      </c>
      <c r="AH30" s="181">
        <f t="shared" si="1"/>
        <v>0</v>
      </c>
    </row>
    <row r="31" spans="3:34" ht="15">
      <c r="C31" s="141" t="s">
        <v>448</v>
      </c>
      <c r="D31" s="360" t="s">
        <v>449</v>
      </c>
      <c r="E31" s="136"/>
      <c r="F31" s="73"/>
      <c r="G31" s="144">
        <v>150000</v>
      </c>
      <c r="H31" s="144"/>
      <c r="I31" s="144"/>
      <c r="J31" s="144">
        <v>45000</v>
      </c>
      <c r="K31" s="144"/>
      <c r="L31" s="144"/>
      <c r="M31" s="145">
        <v>50000</v>
      </c>
      <c r="N31" s="144">
        <v>-5000</v>
      </c>
      <c r="O31" s="144"/>
      <c r="P31" s="94"/>
      <c r="Q31" s="95">
        <v>-10</v>
      </c>
      <c r="R31" s="93"/>
      <c r="S31" s="93"/>
      <c r="T31" s="144">
        <v>90000</v>
      </c>
      <c r="U31" s="144"/>
      <c r="V31" s="145"/>
      <c r="W31" s="144">
        <v>150000</v>
      </c>
      <c r="X31" s="144"/>
      <c r="Y31" s="144"/>
      <c r="Z31" s="144"/>
      <c r="AA31" s="144">
        <v>-60000</v>
      </c>
      <c r="AB31" s="93"/>
      <c r="AC31" s="95"/>
      <c r="AD31" s="95">
        <v>-40</v>
      </c>
      <c r="AF31" s="69">
        <v>18</v>
      </c>
      <c r="AG31" s="181" t="str">
        <f t="shared" si="0"/>
        <v>填寫說明</v>
      </c>
      <c r="AH31" s="181">
        <f t="shared" si="1"/>
        <v>0</v>
      </c>
    </row>
    <row r="32" spans="3:34" ht="15">
      <c r="C32" s="136" t="s">
        <v>165</v>
      </c>
      <c r="D32" s="360" t="s">
        <v>376</v>
      </c>
      <c r="E32" s="73"/>
      <c r="F32" s="73"/>
      <c r="G32" s="144">
        <v>-1611000</v>
      </c>
      <c r="H32" s="144"/>
      <c r="I32" s="144"/>
      <c r="J32" s="144">
        <v>288770</v>
      </c>
      <c r="K32" s="145"/>
      <c r="L32" s="145"/>
      <c r="M32" s="145"/>
      <c r="N32" s="145">
        <v>288770</v>
      </c>
      <c r="O32" s="145"/>
      <c r="P32" s="93"/>
      <c r="Q32" s="95"/>
      <c r="R32" s="93"/>
      <c r="S32" s="93"/>
      <c r="T32" s="144">
        <v>-1240605</v>
      </c>
      <c r="U32" s="144"/>
      <c r="V32" s="145"/>
      <c r="W32" s="144">
        <v>-1611000</v>
      </c>
      <c r="X32" s="144"/>
      <c r="Y32" s="144"/>
      <c r="Z32" s="144"/>
      <c r="AA32" s="144">
        <v>370395</v>
      </c>
      <c r="AB32" s="93"/>
      <c r="AC32" s="95"/>
      <c r="AD32" s="95">
        <v>-22.991620111731844</v>
      </c>
      <c r="AF32" s="69">
        <v>19</v>
      </c>
      <c r="AG32" s="181" t="str">
        <f t="shared" si="0"/>
        <v/>
      </c>
      <c r="AH32" s="181">
        <f>IF(AA32&lt;0,"實際數超過累計預算數",0)</f>
        <v>0</v>
      </c>
    </row>
    <row r="33" spans="3:33" ht="15">
      <c r="C33" s="136" t="s">
        <v>24</v>
      </c>
      <c r="D33" s="360" t="s">
        <v>377</v>
      </c>
      <c r="E33" s="73"/>
      <c r="F33" s="73"/>
      <c r="G33" s="144">
        <v>4894104</v>
      </c>
      <c r="H33" s="144"/>
      <c r="I33" s="144"/>
      <c r="J33" s="144"/>
      <c r="K33" s="145"/>
      <c r="L33" s="145"/>
      <c r="M33" s="145"/>
      <c r="N33" s="145"/>
      <c r="O33" s="145"/>
      <c r="P33" s="93"/>
      <c r="Q33" s="95"/>
      <c r="R33" s="93"/>
      <c r="S33" s="93"/>
      <c r="T33" s="144">
        <v>8411034</v>
      </c>
      <c r="U33" s="144"/>
      <c r="V33" s="145"/>
      <c r="W33" s="144">
        <v>4894104</v>
      </c>
      <c r="X33" s="144"/>
      <c r="Y33" s="144"/>
      <c r="Z33" s="144"/>
      <c r="AA33" s="144">
        <v>3516930</v>
      </c>
      <c r="AB33" s="93"/>
      <c r="AC33" s="95"/>
      <c r="AD33" s="95">
        <v>71.860548938069144</v>
      </c>
      <c r="AG33" s="181" t="str">
        <f t="shared" si="0"/>
        <v/>
      </c>
    </row>
    <row r="34" spans="3:33" ht="15">
      <c r="C34" s="72" t="s">
        <v>25</v>
      </c>
      <c r="D34" s="360">
        <v>72</v>
      </c>
      <c r="E34" s="73"/>
      <c r="F34" s="73"/>
      <c r="G34" s="144"/>
      <c r="H34" s="144"/>
      <c r="I34" s="144"/>
      <c r="J34" s="144"/>
      <c r="K34" s="145"/>
      <c r="L34" s="145"/>
      <c r="M34" s="145"/>
      <c r="N34" s="145"/>
      <c r="O34" s="145"/>
      <c r="P34" s="93"/>
      <c r="Q34" s="95"/>
      <c r="R34" s="93"/>
      <c r="S34" s="93"/>
      <c r="T34" s="144"/>
      <c r="U34" s="144"/>
      <c r="V34" s="145"/>
      <c r="W34" s="144"/>
      <c r="X34" s="144"/>
      <c r="Y34" s="144"/>
      <c r="Z34" s="144"/>
      <c r="AA34" s="144"/>
      <c r="AB34" s="93"/>
      <c r="AC34" s="95"/>
      <c r="AD34" s="95"/>
      <c r="AG34" s="181" t="str">
        <f t="shared" si="0"/>
        <v/>
      </c>
    </row>
    <row r="35" spans="3:33" ht="15">
      <c r="C35" s="72" t="s">
        <v>26</v>
      </c>
      <c r="D35" s="360" t="s">
        <v>378</v>
      </c>
      <c r="E35" s="73"/>
      <c r="F35" s="73"/>
      <c r="G35" s="144">
        <v>3283104</v>
      </c>
      <c r="H35" s="144"/>
      <c r="I35" s="144"/>
      <c r="J35" s="144"/>
      <c r="K35" s="145"/>
      <c r="L35" s="145"/>
      <c r="M35" s="145"/>
      <c r="N35" s="145"/>
      <c r="O35" s="145"/>
      <c r="P35" s="93"/>
      <c r="Q35" s="95"/>
      <c r="R35" s="93"/>
      <c r="S35" s="93"/>
      <c r="T35" s="144">
        <v>7170429</v>
      </c>
      <c r="U35" s="144"/>
      <c r="V35" s="145"/>
      <c r="W35" s="144">
        <v>3283104</v>
      </c>
      <c r="X35" s="144"/>
      <c r="Y35" s="144"/>
      <c r="Z35" s="144"/>
      <c r="AA35" s="144">
        <v>3887325</v>
      </c>
      <c r="AB35" s="93"/>
      <c r="AC35" s="95"/>
      <c r="AD35" s="95">
        <v>118.40395552501533</v>
      </c>
      <c r="AG35" s="181" t="str">
        <f t="shared" si="0"/>
        <v/>
      </c>
    </row>
    <row r="36" spans="3:33" ht="15" hidden="1" customHeight="1">
      <c r="C36" s="72"/>
      <c r="D36" s="361"/>
      <c r="E36" s="73"/>
      <c r="F36" s="73"/>
      <c r="G36" s="145"/>
      <c r="H36" s="145"/>
      <c r="I36" s="145"/>
      <c r="J36" s="145"/>
      <c r="K36" s="145"/>
      <c r="L36" s="145"/>
      <c r="M36" s="145"/>
      <c r="N36" s="145"/>
      <c r="O36" s="145"/>
      <c r="P36" s="93"/>
      <c r="Q36" s="93"/>
      <c r="R36" s="93"/>
      <c r="S36" s="93"/>
      <c r="T36" s="145"/>
      <c r="U36" s="145"/>
      <c r="V36" s="145"/>
      <c r="W36" s="145"/>
      <c r="X36" s="145"/>
      <c r="Y36" s="145"/>
      <c r="Z36" s="145"/>
      <c r="AA36" s="145"/>
      <c r="AB36" s="93"/>
      <c r="AC36" s="93"/>
      <c r="AD36" s="93"/>
      <c r="AG36" s="181" t="str">
        <f t="shared" si="0"/>
        <v/>
      </c>
    </row>
    <row r="37" spans="3:33" ht="15" hidden="1" customHeight="1">
      <c r="C37" s="72"/>
      <c r="D37" s="361"/>
      <c r="E37" s="73"/>
      <c r="F37" s="73"/>
      <c r="G37" s="145"/>
      <c r="H37" s="145"/>
      <c r="I37" s="145"/>
      <c r="J37" s="145"/>
      <c r="K37" s="145"/>
      <c r="L37" s="145"/>
      <c r="M37" s="145"/>
      <c r="N37" s="145"/>
      <c r="O37" s="145"/>
      <c r="P37" s="93"/>
      <c r="Q37" s="93"/>
      <c r="R37" s="93"/>
      <c r="S37" s="93"/>
      <c r="T37" s="145"/>
      <c r="U37" s="145"/>
      <c r="V37" s="145"/>
      <c r="W37" s="145"/>
      <c r="X37" s="145"/>
      <c r="Y37" s="145"/>
      <c r="Z37" s="145"/>
      <c r="AA37" s="145"/>
      <c r="AB37" s="93"/>
      <c r="AC37" s="93"/>
      <c r="AD37" s="93"/>
      <c r="AG37" s="181" t="str">
        <f t="shared" si="0"/>
        <v/>
      </c>
    </row>
    <row r="38" spans="3:33" ht="15" hidden="1" customHeight="1">
      <c r="C38" s="72"/>
      <c r="D38" s="361"/>
      <c r="E38" s="73"/>
      <c r="F38" s="73"/>
      <c r="G38" s="145"/>
      <c r="H38" s="145"/>
      <c r="I38" s="145"/>
      <c r="J38" s="145"/>
      <c r="K38" s="145"/>
      <c r="L38" s="145"/>
      <c r="M38" s="145"/>
      <c r="N38" s="145"/>
      <c r="O38" s="145"/>
      <c r="P38" s="93"/>
      <c r="Q38" s="93"/>
      <c r="R38" s="93"/>
      <c r="S38" s="93"/>
      <c r="T38" s="145"/>
      <c r="U38" s="145"/>
      <c r="V38" s="145"/>
      <c r="W38" s="145"/>
      <c r="X38" s="145"/>
      <c r="Y38" s="145"/>
      <c r="Z38" s="145"/>
      <c r="AA38" s="145"/>
      <c r="AB38" s="93"/>
      <c r="AC38" s="93"/>
      <c r="AD38" s="93"/>
      <c r="AG38" s="181" t="str">
        <f t="shared" si="0"/>
        <v/>
      </c>
    </row>
    <row r="39" spans="3:33" ht="15" hidden="1" customHeight="1">
      <c r="C39" s="72"/>
      <c r="D39" s="361"/>
      <c r="E39" s="73"/>
      <c r="F39" s="73"/>
      <c r="G39" s="145"/>
      <c r="H39" s="145"/>
      <c r="I39" s="145"/>
      <c r="J39" s="145"/>
      <c r="K39" s="145"/>
      <c r="L39" s="145"/>
      <c r="M39" s="145"/>
      <c r="N39" s="145"/>
      <c r="O39" s="145"/>
      <c r="P39" s="93"/>
      <c r="Q39" s="93"/>
      <c r="R39" s="93"/>
      <c r="S39" s="93"/>
      <c r="T39" s="145"/>
      <c r="U39" s="145"/>
      <c r="V39" s="145"/>
      <c r="W39" s="145"/>
      <c r="X39" s="145"/>
      <c r="Y39" s="145"/>
      <c r="Z39" s="145"/>
      <c r="AA39" s="145"/>
      <c r="AB39" s="93"/>
      <c r="AC39" s="93"/>
      <c r="AD39" s="93"/>
      <c r="AG39" s="181" t="str">
        <f t="shared" si="0"/>
        <v/>
      </c>
    </row>
    <row r="40" spans="3:33" ht="15" hidden="1" customHeight="1">
      <c r="C40" s="72"/>
      <c r="D40" s="361"/>
      <c r="E40" s="73"/>
      <c r="F40" s="73"/>
      <c r="G40" s="145"/>
      <c r="H40" s="145"/>
      <c r="I40" s="145"/>
      <c r="J40" s="145"/>
      <c r="K40" s="145"/>
      <c r="L40" s="145"/>
      <c r="M40" s="145"/>
      <c r="N40" s="145"/>
      <c r="O40" s="145"/>
      <c r="P40" s="93"/>
      <c r="Q40" s="93"/>
      <c r="R40" s="93"/>
      <c r="S40" s="93"/>
      <c r="T40" s="145"/>
      <c r="U40" s="145"/>
      <c r="V40" s="145"/>
      <c r="W40" s="145"/>
      <c r="X40" s="145"/>
      <c r="Y40" s="145"/>
      <c r="Z40" s="145"/>
      <c r="AA40" s="145"/>
      <c r="AB40" s="93"/>
      <c r="AC40" s="93"/>
      <c r="AD40" s="93"/>
      <c r="AG40" s="181" t="str">
        <f t="shared" si="0"/>
        <v/>
      </c>
    </row>
    <row r="41" spans="3:33" ht="15" hidden="1" customHeight="1">
      <c r="C41" s="72"/>
      <c r="D41" s="361"/>
      <c r="E41" s="73"/>
      <c r="F41" s="73"/>
      <c r="G41" s="145"/>
      <c r="H41" s="145"/>
      <c r="I41" s="145"/>
      <c r="J41" s="145"/>
      <c r="K41" s="145"/>
      <c r="L41" s="145"/>
      <c r="M41" s="145"/>
      <c r="N41" s="145"/>
      <c r="O41" s="145"/>
      <c r="P41" s="93"/>
      <c r="Q41" s="93"/>
      <c r="R41" s="93"/>
      <c r="S41" s="93"/>
      <c r="T41" s="145"/>
      <c r="U41" s="145"/>
      <c r="V41" s="145"/>
      <c r="W41" s="145"/>
      <c r="X41" s="145"/>
      <c r="Y41" s="145"/>
      <c r="Z41" s="145"/>
      <c r="AA41" s="145"/>
      <c r="AB41" s="93"/>
      <c r="AC41" s="93"/>
      <c r="AD41" s="93"/>
      <c r="AG41" s="181" t="str">
        <f t="shared" si="0"/>
        <v/>
      </c>
    </row>
    <row r="42" spans="3:33" ht="15" hidden="1" customHeight="1">
      <c r="C42" s="72"/>
      <c r="D42" s="361"/>
      <c r="E42" s="73"/>
      <c r="F42" s="73"/>
      <c r="G42" s="145"/>
      <c r="H42" s="145"/>
      <c r="I42" s="145"/>
      <c r="J42" s="145"/>
      <c r="K42" s="145"/>
      <c r="L42" s="145"/>
      <c r="M42" s="145"/>
      <c r="N42" s="145"/>
      <c r="O42" s="145"/>
      <c r="P42" s="93"/>
      <c r="Q42" s="93"/>
      <c r="R42" s="93"/>
      <c r="S42" s="93"/>
      <c r="T42" s="145"/>
      <c r="U42" s="145"/>
      <c r="V42" s="145"/>
      <c r="W42" s="145"/>
      <c r="X42" s="145"/>
      <c r="Y42" s="145"/>
      <c r="Z42" s="145"/>
      <c r="AA42" s="145"/>
      <c r="AB42" s="93"/>
      <c r="AC42" s="93"/>
      <c r="AD42" s="93"/>
      <c r="AG42" s="181" t="str">
        <f t="shared" si="0"/>
        <v/>
      </c>
    </row>
    <row r="43" spans="3:33" ht="15" hidden="1" customHeight="1">
      <c r="C43" s="72"/>
      <c r="D43" s="361"/>
      <c r="E43" s="73"/>
      <c r="F43" s="73"/>
      <c r="G43" s="145"/>
      <c r="H43" s="145"/>
      <c r="I43" s="145"/>
      <c r="J43" s="145"/>
      <c r="K43" s="145"/>
      <c r="L43" s="145"/>
      <c r="M43" s="145"/>
      <c r="N43" s="145"/>
      <c r="O43" s="145"/>
      <c r="P43" s="93"/>
      <c r="Q43" s="93"/>
      <c r="R43" s="93"/>
      <c r="S43" s="93"/>
      <c r="T43" s="145"/>
      <c r="U43" s="145"/>
      <c r="V43" s="145"/>
      <c r="W43" s="145"/>
      <c r="X43" s="145"/>
      <c r="Y43" s="145"/>
      <c r="Z43" s="145"/>
      <c r="AA43" s="145"/>
      <c r="AB43" s="93"/>
      <c r="AC43" s="93"/>
      <c r="AD43" s="93"/>
      <c r="AG43" s="181" t="str">
        <f t="shared" si="0"/>
        <v/>
      </c>
    </row>
    <row r="44" spans="3:33" ht="15" hidden="1" customHeight="1">
      <c r="C44" s="72"/>
      <c r="D44" s="361"/>
      <c r="E44" s="73"/>
      <c r="F44" s="73"/>
      <c r="G44" s="145"/>
      <c r="H44" s="145"/>
      <c r="I44" s="145"/>
      <c r="J44" s="145"/>
      <c r="K44" s="145"/>
      <c r="L44" s="145"/>
      <c r="M44" s="145"/>
      <c r="N44" s="145"/>
      <c r="O44" s="145"/>
      <c r="P44" s="93"/>
      <c r="Q44" s="93"/>
      <c r="R44" s="93"/>
      <c r="S44" s="93"/>
      <c r="T44" s="145"/>
      <c r="U44" s="145"/>
      <c r="V44" s="145"/>
      <c r="W44" s="145"/>
      <c r="X44" s="145"/>
      <c r="Y44" s="145"/>
      <c r="Z44" s="145"/>
      <c r="AA44" s="145"/>
      <c r="AB44" s="93"/>
      <c r="AC44" s="93"/>
      <c r="AD44" s="93"/>
      <c r="AG44" s="181" t="str">
        <f t="shared" si="0"/>
        <v/>
      </c>
    </row>
    <row r="45" spans="3:33" ht="15" hidden="1" customHeight="1">
      <c r="C45" s="72"/>
      <c r="D45" s="361"/>
      <c r="E45" s="73"/>
      <c r="F45" s="73"/>
      <c r="G45" s="145"/>
      <c r="H45" s="145"/>
      <c r="I45" s="145"/>
      <c r="J45" s="145"/>
      <c r="K45" s="145"/>
      <c r="L45" s="145"/>
      <c r="M45" s="145"/>
      <c r="N45" s="145"/>
      <c r="O45" s="145"/>
      <c r="P45" s="93"/>
      <c r="Q45" s="93"/>
      <c r="R45" s="93"/>
      <c r="S45" s="93"/>
      <c r="T45" s="145"/>
      <c r="U45" s="145"/>
      <c r="V45" s="145"/>
      <c r="W45" s="145"/>
      <c r="X45" s="145"/>
      <c r="Y45" s="145"/>
      <c r="Z45" s="145"/>
      <c r="AA45" s="145"/>
      <c r="AB45" s="93"/>
      <c r="AC45" s="93"/>
      <c r="AD45" s="93"/>
      <c r="AG45" s="181" t="str">
        <f t="shared" si="0"/>
        <v/>
      </c>
    </row>
    <row r="46" spans="3:33" ht="15" hidden="1" customHeight="1">
      <c r="C46" s="72"/>
      <c r="D46" s="361"/>
      <c r="E46" s="73"/>
      <c r="F46" s="73"/>
      <c r="G46" s="145"/>
      <c r="H46" s="145"/>
      <c r="I46" s="145"/>
      <c r="J46" s="145"/>
      <c r="K46" s="145"/>
      <c r="L46" s="145"/>
      <c r="M46" s="145"/>
      <c r="N46" s="145"/>
      <c r="O46" s="145"/>
      <c r="P46" s="93"/>
      <c r="Q46" s="93"/>
      <c r="R46" s="93"/>
      <c r="S46" s="93"/>
      <c r="T46" s="145"/>
      <c r="U46" s="145"/>
      <c r="V46" s="145"/>
      <c r="W46" s="145"/>
      <c r="X46" s="145"/>
      <c r="Y46" s="145"/>
      <c r="Z46" s="145"/>
      <c r="AA46" s="145"/>
      <c r="AB46" s="93"/>
      <c r="AC46" s="93"/>
      <c r="AD46" s="93"/>
      <c r="AG46" s="181" t="str">
        <f t="shared" si="0"/>
        <v/>
      </c>
    </row>
    <row r="47" spans="3:33" ht="15">
      <c r="C47" s="72"/>
      <c r="D47" s="361"/>
      <c r="E47" s="73"/>
      <c r="F47" s="73"/>
      <c r="G47" s="145"/>
      <c r="H47" s="145"/>
      <c r="I47" s="145"/>
      <c r="J47" s="145"/>
      <c r="K47" s="145"/>
      <c r="L47" s="145"/>
      <c r="M47" s="145"/>
      <c r="N47" s="145"/>
      <c r="O47" s="145"/>
      <c r="P47" s="93"/>
      <c r="Q47" s="93"/>
      <c r="R47" s="93"/>
      <c r="S47" s="93"/>
      <c r="T47" s="145"/>
      <c r="U47" s="145"/>
      <c r="V47" s="145"/>
      <c r="W47" s="145"/>
      <c r="X47" s="145"/>
      <c r="Y47" s="145"/>
      <c r="Z47" s="145"/>
      <c r="AA47" s="145"/>
      <c r="AB47" s="93"/>
      <c r="AC47" s="93"/>
      <c r="AD47" s="93"/>
      <c r="AG47" s="181" t="str">
        <f t="shared" si="0"/>
        <v/>
      </c>
    </row>
    <row r="48" spans="3:33" ht="15">
      <c r="C48" s="138"/>
      <c r="D48" s="362"/>
      <c r="E48" s="139"/>
      <c r="F48" s="139"/>
      <c r="G48" s="146"/>
      <c r="H48" s="146"/>
      <c r="I48" s="146"/>
      <c r="J48" s="146"/>
      <c r="K48" s="146"/>
      <c r="L48" s="146"/>
      <c r="M48" s="146"/>
      <c r="N48" s="146"/>
      <c r="O48" s="146"/>
      <c r="P48" s="96"/>
      <c r="Q48" s="96"/>
      <c r="R48" s="96"/>
      <c r="S48" s="96"/>
      <c r="T48" s="146"/>
      <c r="U48" s="146"/>
      <c r="V48" s="146"/>
      <c r="W48" s="146"/>
      <c r="X48" s="146"/>
      <c r="Y48" s="146"/>
      <c r="Z48" s="146"/>
      <c r="AA48" s="146"/>
      <c r="AB48" s="96"/>
      <c r="AC48" s="96"/>
      <c r="AD48" s="96"/>
      <c r="AG48" s="181" t="str">
        <f t="shared" si="0"/>
        <v/>
      </c>
    </row>
    <row r="49" spans="2:20" s="69" customFormat="1" ht="7.5" customHeight="1"/>
    <row r="50" spans="2:20" s="69" customFormat="1" ht="12" customHeight="1">
      <c r="B50" s="137"/>
    </row>
    <row r="51" spans="2:20" s="69" customFormat="1" ht="43.5" customHeight="1">
      <c r="T51" s="69" t="e">
        <f>VLOOKUP("銀行存款-縣庫存款",平衡!$E$13:$H$46,4,0)+VLOOKUP("零用及週轉金",平衡!$D$13:$H$46,5,0)+VLOOKUP("預付費用",平衡!$D$13:$H$46,5,0)</f>
        <v>#N/A</v>
      </c>
    </row>
  </sheetData>
  <sortState ref="A16:AM52">
    <sortCondition ref="AF16:AF52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48" priority="13">
      <formula>AND(T16&gt;0,W16=0)</formula>
    </cfRule>
  </conditionalFormatting>
  <conditionalFormatting sqref="T20">
    <cfRule type="expression" dxfId="47" priority="8">
      <formula>AND(T20&gt;0,W20=0)</formula>
    </cfRule>
  </conditionalFormatting>
  <conditionalFormatting sqref="W20">
    <cfRule type="expression" dxfId="46" priority="7">
      <formula>AND(W20&gt;0,Z20=0)</formula>
    </cfRule>
  </conditionalFormatting>
  <conditionalFormatting sqref="W20">
    <cfRule type="expression" dxfId="45" priority="6">
      <formula>AND(W20&gt;0,Z20=0)</formula>
    </cfRule>
  </conditionalFormatting>
  <conditionalFormatting sqref="T16:T25">
    <cfRule type="expression" dxfId="44" priority="5">
      <formula>AND(T16&gt;0,W16=0)</formula>
    </cfRule>
  </conditionalFormatting>
  <conditionalFormatting sqref="T20">
    <cfRule type="expression" dxfId="43" priority="4">
      <formula>AND(T20&gt;0,W20=0)</formula>
    </cfRule>
  </conditionalFormatting>
  <conditionalFormatting sqref="W20">
    <cfRule type="expression" dxfId="42" priority="3">
      <formula>AND(W20&gt;0,Z20=0)</formula>
    </cfRule>
  </conditionalFormatting>
  <conditionalFormatting sqref="W20">
    <cfRule type="expression" dxfId="41" priority="2">
      <formula>AND(W20&gt;0,Z20=0)</formula>
    </cfRule>
  </conditionalFormatting>
  <conditionalFormatting sqref="T35">
    <cfRule type="cellIs" dxfId="40" priority="1" operator="notEqual">
      <formula>$T$51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50"/>
  <sheetViews>
    <sheetView showGridLines="0" showZeros="0" showOutlineSymbols="0" view="pageBreakPreview" topLeftCell="A9" zoomScale="160" zoomScaleSheetLayoutView="160" workbookViewId="0">
      <selection activeCell="C16" sqref="C16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77" t="str">
        <f>封面!$A$4</f>
        <v>彰化縣地方教育發展基金－彰化縣彰化市民生國民小學</v>
      </c>
      <c r="B2" s="677"/>
      <c r="C2" s="677"/>
      <c r="D2" s="677"/>
      <c r="E2" s="677"/>
      <c r="F2" s="677"/>
      <c r="G2" s="677"/>
      <c r="H2" s="677"/>
      <c r="I2" s="677"/>
      <c r="J2" s="677"/>
      <c r="K2" s="677"/>
      <c r="L2" s="677"/>
      <c r="M2" s="677"/>
      <c r="N2" s="677"/>
      <c r="O2" s="677"/>
      <c r="P2" s="677"/>
      <c r="Q2" s="677"/>
      <c r="R2" s="677"/>
      <c r="S2" s="677"/>
      <c r="T2" s="677"/>
      <c r="U2" s="677"/>
    </row>
    <row r="3" spans="1:21" ht="21">
      <c r="A3" s="679" t="s">
        <v>0</v>
      </c>
      <c r="B3" s="679"/>
      <c r="C3" s="679"/>
      <c r="D3" s="679"/>
      <c r="E3" s="679"/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</row>
    <row r="4" spans="1:21" ht="19.5">
      <c r="A4" s="680" t="str">
        <f>封面!$E$10&amp;封面!$H$10&amp;封面!$I$10&amp;封面!$J$10&amp;封面!$K$10&amp;封面!$O$10&amp;"日"</f>
        <v>中華民國113年9月30日</v>
      </c>
      <c r="B4" s="680"/>
      <c r="C4" s="680"/>
      <c r="D4" s="680"/>
      <c r="E4" s="680"/>
      <c r="F4" s="680"/>
      <c r="G4" s="680"/>
      <c r="H4" s="680"/>
      <c r="I4" s="680"/>
      <c r="J4" s="680"/>
      <c r="K4" s="680"/>
      <c r="L4" s="680"/>
      <c r="M4" s="680"/>
      <c r="N4" s="680"/>
      <c r="O4" s="680"/>
      <c r="P4" s="680"/>
      <c r="Q4" s="680"/>
      <c r="R4" s="680"/>
      <c r="S4" s="680"/>
      <c r="T4" s="680"/>
      <c r="U4" s="680"/>
    </row>
    <row r="5" spans="1:21" ht="2.25" customHeight="1"/>
    <row r="6" spans="1:21" ht="15.75" customHeight="1">
      <c r="A6" s="678" t="s">
        <v>1</v>
      </c>
      <c r="B6" s="678"/>
      <c r="C6" s="678"/>
      <c r="D6" s="678"/>
      <c r="E6" s="678"/>
      <c r="F6" s="678"/>
      <c r="G6" s="678"/>
      <c r="H6" s="678"/>
      <c r="I6" s="678"/>
      <c r="J6" s="678"/>
      <c r="K6" s="678"/>
      <c r="L6" s="678"/>
      <c r="M6" s="678"/>
      <c r="N6" s="678"/>
      <c r="O6" s="678"/>
      <c r="P6" s="678"/>
      <c r="Q6" s="678"/>
      <c r="R6" s="678"/>
      <c r="S6" s="678"/>
      <c r="T6" s="678"/>
      <c r="U6" s="678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84" t="s">
        <v>2</v>
      </c>
      <c r="B8" s="685"/>
      <c r="C8" s="685"/>
      <c r="D8" s="685"/>
      <c r="E8" s="685"/>
      <c r="F8" s="686"/>
      <c r="G8" s="289"/>
      <c r="H8" s="1"/>
      <c r="I8" s="1"/>
      <c r="J8" s="366"/>
      <c r="K8" s="685" t="s">
        <v>3</v>
      </c>
      <c r="L8" s="685"/>
      <c r="M8" s="685"/>
      <c r="N8" s="685"/>
      <c r="O8" s="685"/>
      <c r="P8" s="685"/>
      <c r="Q8" s="686"/>
      <c r="R8" s="289"/>
      <c r="S8" s="289"/>
      <c r="T8" s="289"/>
      <c r="U8" s="1"/>
    </row>
    <row r="9" spans="1:21" ht="18" customHeight="1">
      <c r="A9" s="687"/>
      <c r="B9" s="688"/>
      <c r="C9" s="688"/>
      <c r="D9" s="688"/>
      <c r="E9" s="688"/>
      <c r="F9" s="689"/>
      <c r="G9" s="289"/>
      <c r="H9" s="681" t="s">
        <v>4</v>
      </c>
      <c r="I9" s="681" t="s">
        <v>5</v>
      </c>
      <c r="J9" s="366"/>
      <c r="K9" s="688"/>
      <c r="L9" s="688"/>
      <c r="M9" s="688"/>
      <c r="N9" s="688"/>
      <c r="O9" s="688"/>
      <c r="P9" s="688"/>
      <c r="Q9" s="689"/>
      <c r="R9" s="289"/>
      <c r="S9" s="289"/>
      <c r="T9" s="691" t="s">
        <v>4</v>
      </c>
      <c r="U9" s="681" t="s">
        <v>5</v>
      </c>
    </row>
    <row r="10" spans="1:21" ht="12.75" hidden="1" customHeight="1">
      <c r="A10" s="1"/>
      <c r="B10" s="1"/>
      <c r="C10" s="1"/>
      <c r="D10" s="1"/>
      <c r="E10" s="1"/>
      <c r="F10" s="1"/>
      <c r="G10" s="1"/>
      <c r="H10" s="681"/>
      <c r="I10" s="681"/>
      <c r="J10" s="1"/>
      <c r="K10" s="1"/>
      <c r="L10" s="1"/>
      <c r="M10" s="1"/>
      <c r="N10" s="1"/>
      <c r="O10" s="1"/>
      <c r="P10" s="1"/>
      <c r="Q10" s="1"/>
      <c r="R10" s="1"/>
      <c r="S10" s="1"/>
      <c r="T10" s="692"/>
      <c r="U10" s="681"/>
    </row>
    <row r="11" spans="1:21" ht="18" customHeight="1">
      <c r="A11" s="681" t="s">
        <v>6</v>
      </c>
      <c r="B11" s="681"/>
      <c r="C11" s="681"/>
      <c r="D11" s="681"/>
      <c r="E11" s="681"/>
      <c r="F11" s="681" t="s">
        <v>7</v>
      </c>
      <c r="G11" s="289"/>
      <c r="H11" s="681"/>
      <c r="I11" s="681"/>
      <c r="J11" s="366"/>
      <c r="K11" s="682" t="s">
        <v>6</v>
      </c>
      <c r="L11" s="682"/>
      <c r="M11" s="682"/>
      <c r="N11" s="682"/>
      <c r="O11" s="683"/>
      <c r="P11" s="289"/>
      <c r="Q11" s="681" t="s">
        <v>7</v>
      </c>
      <c r="R11" s="289"/>
      <c r="S11" s="289"/>
      <c r="T11" s="693"/>
      <c r="U11" s="681"/>
    </row>
    <row r="12" spans="1:21" ht="14.25" hidden="1" customHeight="1">
      <c r="A12" s="681"/>
      <c r="B12" s="681"/>
      <c r="C12" s="681"/>
      <c r="D12" s="681"/>
      <c r="E12" s="681"/>
      <c r="F12" s="681"/>
      <c r="G12" s="289"/>
      <c r="H12" s="1"/>
      <c r="I12" s="1"/>
      <c r="J12" s="366"/>
      <c r="K12" s="682"/>
      <c r="L12" s="682"/>
      <c r="M12" s="682"/>
      <c r="N12" s="682"/>
      <c r="O12" s="683"/>
      <c r="P12" s="289"/>
      <c r="Q12" s="681"/>
      <c r="R12" s="289"/>
      <c r="S12" s="289"/>
      <c r="T12" s="289"/>
      <c r="U12" s="1"/>
    </row>
    <row r="13" spans="1:21" ht="14.25">
      <c r="A13" s="101" t="s">
        <v>479</v>
      </c>
      <c r="B13" s="102"/>
      <c r="C13" s="340"/>
      <c r="D13" s="340"/>
      <c r="E13" s="341"/>
      <c r="F13" s="104" t="s">
        <v>480</v>
      </c>
      <c r="G13" s="104"/>
      <c r="H13" s="105">
        <v>354890920</v>
      </c>
      <c r="I13" s="285">
        <v>100</v>
      </c>
      <c r="J13" s="367" t="s">
        <v>533</v>
      </c>
      <c r="K13" s="102"/>
      <c r="L13" s="102"/>
      <c r="M13" s="102"/>
      <c r="N13" s="102"/>
      <c r="O13" s="103"/>
      <c r="P13" s="103"/>
      <c r="Q13" s="106" t="s">
        <v>546</v>
      </c>
      <c r="R13" s="104"/>
      <c r="S13" s="104"/>
      <c r="T13" s="519">
        <v>11774773</v>
      </c>
      <c r="U13" s="397">
        <v>3.3178569347449072</v>
      </c>
    </row>
    <row r="14" spans="1:21" ht="14.25">
      <c r="A14" s="297"/>
      <c r="B14" s="108" t="s">
        <v>481</v>
      </c>
      <c r="C14" s="323"/>
      <c r="D14" s="323"/>
      <c r="E14" s="324"/>
      <c r="F14" s="114" t="s">
        <v>482</v>
      </c>
      <c r="G14" s="114"/>
      <c r="H14" s="111">
        <v>16882092</v>
      </c>
      <c r="I14" s="286">
        <v>4.7569805392597813</v>
      </c>
      <c r="J14" s="107"/>
      <c r="K14" s="108" t="s">
        <v>534</v>
      </c>
      <c r="L14" s="108"/>
      <c r="M14" s="108"/>
      <c r="N14" s="108"/>
      <c r="O14" s="109"/>
      <c r="P14" s="109"/>
      <c r="Q14" s="112" t="s">
        <v>547</v>
      </c>
      <c r="R14" s="114"/>
      <c r="S14" s="114"/>
      <c r="T14" s="434">
        <v>8732256</v>
      </c>
      <c r="U14" s="398">
        <v>2.4605464687572169</v>
      </c>
    </row>
    <row r="15" spans="1:21" ht="14.25">
      <c r="A15" s="297"/>
      <c r="B15" s="108"/>
      <c r="C15" s="323" t="s">
        <v>483</v>
      </c>
      <c r="D15" s="323"/>
      <c r="E15" s="324"/>
      <c r="F15" s="114" t="s">
        <v>484</v>
      </c>
      <c r="G15" s="114"/>
      <c r="H15" s="111">
        <v>16018430</v>
      </c>
      <c r="I15" s="286">
        <v>4.513620692239745</v>
      </c>
      <c r="J15" s="107"/>
      <c r="K15" s="108"/>
      <c r="L15" s="108" t="s">
        <v>535</v>
      </c>
      <c r="M15" s="108"/>
      <c r="N15" s="108"/>
      <c r="O15" s="109"/>
      <c r="P15" s="109"/>
      <c r="Q15" s="112" t="s">
        <v>548</v>
      </c>
      <c r="R15" s="114"/>
      <c r="S15" s="114"/>
      <c r="T15" s="434">
        <v>8732256</v>
      </c>
      <c r="U15" s="398">
        <v>2.4605464687572169</v>
      </c>
    </row>
    <row r="16" spans="1:21" ht="14.25">
      <c r="A16" s="297"/>
      <c r="B16" s="108"/>
      <c r="C16" s="323"/>
      <c r="D16" s="323" t="s">
        <v>485</v>
      </c>
      <c r="E16" s="324"/>
      <c r="F16" s="114" t="s">
        <v>486</v>
      </c>
      <c r="G16" s="114"/>
      <c r="H16" s="111">
        <v>15958430</v>
      </c>
      <c r="I16" s="286">
        <v>4.4967140889375248</v>
      </c>
      <c r="J16" s="107"/>
      <c r="K16" s="108"/>
      <c r="L16" s="108"/>
      <c r="M16" s="108" t="s">
        <v>536</v>
      </c>
      <c r="N16" s="108"/>
      <c r="O16" s="109"/>
      <c r="P16" s="109"/>
      <c r="Q16" s="112" t="s">
        <v>549</v>
      </c>
      <c r="R16" s="114"/>
      <c r="S16" s="114"/>
      <c r="T16" s="434">
        <v>8732256</v>
      </c>
      <c r="U16" s="398">
        <v>2.4605464687572169</v>
      </c>
    </row>
    <row r="17" spans="1:21" ht="14.25">
      <c r="A17" s="297"/>
      <c r="B17" s="108"/>
      <c r="C17" s="323"/>
      <c r="D17" s="323"/>
      <c r="E17" s="324" t="s">
        <v>487</v>
      </c>
      <c r="F17" s="114" t="s">
        <v>488</v>
      </c>
      <c r="G17" s="114"/>
      <c r="H17" s="111">
        <v>7110429</v>
      </c>
      <c r="I17" s="286">
        <v>2.0035533735267164</v>
      </c>
      <c r="J17" s="107"/>
      <c r="K17" s="108"/>
      <c r="L17" s="108"/>
      <c r="M17" s="108" t="s">
        <v>537</v>
      </c>
      <c r="N17" s="108"/>
      <c r="O17" s="109"/>
      <c r="P17" s="109"/>
      <c r="Q17" s="112" t="s">
        <v>550</v>
      </c>
      <c r="R17" s="114"/>
      <c r="S17" s="114"/>
      <c r="T17" s="434">
        <v>0</v>
      </c>
      <c r="U17" s="398">
        <v>0</v>
      </c>
    </row>
    <row r="18" spans="1:21" ht="14.25">
      <c r="A18" s="297"/>
      <c r="B18" s="108"/>
      <c r="C18" s="323"/>
      <c r="D18" s="323"/>
      <c r="E18" s="324" t="s">
        <v>489</v>
      </c>
      <c r="F18" s="114" t="s">
        <v>490</v>
      </c>
      <c r="G18" s="114"/>
      <c r="H18" s="111">
        <v>8848001</v>
      </c>
      <c r="I18" s="286">
        <v>2.4931607154108084</v>
      </c>
      <c r="J18" s="107"/>
      <c r="K18" s="108" t="s">
        <v>538</v>
      </c>
      <c r="L18" s="108"/>
      <c r="M18" s="108"/>
      <c r="N18" s="108"/>
      <c r="O18" s="109"/>
      <c r="P18" s="109"/>
      <c r="Q18" s="112" t="s">
        <v>551</v>
      </c>
      <c r="R18" s="114"/>
      <c r="S18" s="114"/>
      <c r="T18" s="434">
        <v>3042517</v>
      </c>
      <c r="U18" s="398">
        <v>0.85731046598769012</v>
      </c>
    </row>
    <row r="19" spans="1:21" ht="14.25">
      <c r="A19" s="297"/>
      <c r="B19" s="108"/>
      <c r="C19" s="323"/>
      <c r="D19" s="323" t="s">
        <v>491</v>
      </c>
      <c r="E19" s="324"/>
      <c r="F19" s="114" t="s">
        <v>492</v>
      </c>
      <c r="G19" s="114"/>
      <c r="H19" s="111">
        <v>60000</v>
      </c>
      <c r="I19" s="286">
        <v>1.6906603302220297E-2</v>
      </c>
      <c r="J19" s="107"/>
      <c r="K19" s="108"/>
      <c r="L19" s="108" t="s">
        <v>539</v>
      </c>
      <c r="M19" s="108"/>
      <c r="N19" s="108"/>
      <c r="O19" s="109"/>
      <c r="P19" s="109"/>
      <c r="Q19" s="112" t="s">
        <v>552</v>
      </c>
      <c r="R19" s="114"/>
      <c r="S19" s="114"/>
      <c r="T19" s="434">
        <v>3042517</v>
      </c>
      <c r="U19" s="398">
        <v>0.85731046598769012</v>
      </c>
    </row>
    <row r="20" spans="1:21" ht="14.25">
      <c r="A20" s="297"/>
      <c r="B20" s="108"/>
      <c r="C20" s="323" t="s">
        <v>493</v>
      </c>
      <c r="D20" s="323"/>
      <c r="E20" s="324"/>
      <c r="F20" s="114" t="s">
        <v>494</v>
      </c>
      <c r="G20" s="114"/>
      <c r="H20" s="111">
        <v>863662</v>
      </c>
      <c r="I20" s="286">
        <v>0.24335984702003646</v>
      </c>
      <c r="J20" s="107"/>
      <c r="K20" s="108"/>
      <c r="L20" s="108"/>
      <c r="M20" s="108" t="s">
        <v>540</v>
      </c>
      <c r="N20" s="108"/>
      <c r="O20" s="109"/>
      <c r="P20" s="109"/>
      <c r="Q20" s="112" t="s">
        <v>553</v>
      </c>
      <c r="R20" s="114"/>
      <c r="S20" s="114"/>
      <c r="T20" s="434">
        <v>979407</v>
      </c>
      <c r="U20" s="398">
        <v>0.27597409367362796</v>
      </c>
    </row>
    <row r="21" spans="1:21" ht="14.25">
      <c r="A21" s="297"/>
      <c r="B21" s="108"/>
      <c r="C21" s="323"/>
      <c r="D21" s="323" t="s">
        <v>495</v>
      </c>
      <c r="E21" s="324"/>
      <c r="F21" s="114" t="s">
        <v>496</v>
      </c>
      <c r="G21" s="114"/>
      <c r="H21" s="111">
        <v>863662</v>
      </c>
      <c r="I21" s="286">
        <v>0.24335984702003646</v>
      </c>
      <c r="J21" s="107"/>
      <c r="K21" s="108"/>
      <c r="L21" s="108"/>
      <c r="M21" s="108" t="s">
        <v>541</v>
      </c>
      <c r="N21" s="108"/>
      <c r="O21" s="109"/>
      <c r="P21" s="109"/>
      <c r="Q21" s="112" t="s">
        <v>554</v>
      </c>
      <c r="R21" s="114"/>
      <c r="S21" s="114"/>
      <c r="T21" s="434">
        <v>2063110</v>
      </c>
      <c r="U21" s="398">
        <v>0.58133637231406199</v>
      </c>
    </row>
    <row r="22" spans="1:21" ht="14.25">
      <c r="A22" s="297"/>
      <c r="B22" s="108" t="s">
        <v>497</v>
      </c>
      <c r="C22" s="323"/>
      <c r="D22" s="323"/>
      <c r="E22" s="324"/>
      <c r="F22" s="114" t="s">
        <v>498</v>
      </c>
      <c r="G22" s="114"/>
      <c r="H22" s="111">
        <v>2063110</v>
      </c>
      <c r="I22" s="286">
        <v>0.58133637231406199</v>
      </c>
      <c r="J22" s="107" t="s">
        <v>542</v>
      </c>
      <c r="K22" s="108"/>
      <c r="L22" s="108"/>
      <c r="M22" s="108"/>
      <c r="N22" s="108"/>
      <c r="O22" s="109"/>
      <c r="P22" s="109"/>
      <c r="Q22" s="112" t="s">
        <v>555</v>
      </c>
      <c r="R22" s="114"/>
      <c r="S22" s="114"/>
      <c r="T22" s="434">
        <v>343116147</v>
      </c>
      <c r="U22" s="398">
        <v>96.68214306525509</v>
      </c>
    </row>
    <row r="23" spans="1:21" ht="14.25">
      <c r="A23" s="297"/>
      <c r="B23" s="108"/>
      <c r="C23" s="323" t="s">
        <v>499</v>
      </c>
      <c r="D23" s="323"/>
      <c r="E23" s="324"/>
      <c r="F23" s="114" t="s">
        <v>500</v>
      </c>
      <c r="G23" s="114"/>
      <c r="H23" s="111">
        <v>2063110</v>
      </c>
      <c r="I23" s="286">
        <v>0.58133637231406199</v>
      </c>
      <c r="J23" s="107"/>
      <c r="K23" s="108" t="s">
        <v>542</v>
      </c>
      <c r="L23" s="108"/>
      <c r="M23" s="108"/>
      <c r="N23" s="108"/>
      <c r="O23" s="109"/>
      <c r="P23" s="109"/>
      <c r="Q23" s="112" t="s">
        <v>556</v>
      </c>
      <c r="R23" s="114"/>
      <c r="S23" s="114"/>
      <c r="T23" s="434">
        <v>343116147</v>
      </c>
      <c r="U23" s="398">
        <v>96.68214306525509</v>
      </c>
    </row>
    <row r="24" spans="1:21" ht="14.25">
      <c r="A24" s="297"/>
      <c r="B24" s="108"/>
      <c r="C24" s="323"/>
      <c r="D24" s="323" t="s">
        <v>501</v>
      </c>
      <c r="E24" s="324"/>
      <c r="F24" s="114" t="s">
        <v>502</v>
      </c>
      <c r="G24" s="114"/>
      <c r="H24" s="111">
        <v>2063110</v>
      </c>
      <c r="I24" s="286">
        <v>0.58133637231406199</v>
      </c>
      <c r="J24" s="107"/>
      <c r="K24" s="108"/>
      <c r="L24" s="108" t="s">
        <v>542</v>
      </c>
      <c r="M24" s="108"/>
      <c r="N24" s="108"/>
      <c r="O24" s="109"/>
      <c r="P24" s="109"/>
      <c r="Q24" s="112" t="s">
        <v>557</v>
      </c>
      <c r="R24" s="114"/>
      <c r="S24" s="114"/>
      <c r="T24" s="434">
        <v>343116147</v>
      </c>
      <c r="U24" s="398">
        <v>96.68214306525509</v>
      </c>
    </row>
    <row r="25" spans="1:21" ht="14.25">
      <c r="A25" s="297"/>
      <c r="B25" s="108" t="s">
        <v>503</v>
      </c>
      <c r="C25" s="323"/>
      <c r="D25" s="323"/>
      <c r="E25" s="324"/>
      <c r="F25" s="114" t="s">
        <v>504</v>
      </c>
      <c r="G25" s="114"/>
      <c r="H25" s="111">
        <v>335675466</v>
      </c>
      <c r="I25" s="286">
        <v>94.585532365832293</v>
      </c>
      <c r="J25" s="107"/>
      <c r="K25" s="108"/>
      <c r="L25" s="108"/>
      <c r="M25" s="108" t="s">
        <v>543</v>
      </c>
      <c r="N25" s="108"/>
      <c r="O25" s="109"/>
      <c r="P25" s="109"/>
      <c r="Q25" s="112" t="s">
        <v>558</v>
      </c>
      <c r="R25" s="114"/>
      <c r="S25" s="114"/>
      <c r="T25" s="434">
        <v>341690768</v>
      </c>
      <c r="U25" s="398">
        <v>96.280504443449828</v>
      </c>
    </row>
    <row r="26" spans="1:21" ht="14.25">
      <c r="A26" s="297"/>
      <c r="B26" s="108"/>
      <c r="C26" s="323" t="s">
        <v>44</v>
      </c>
      <c r="D26" s="323"/>
      <c r="E26" s="324"/>
      <c r="F26" s="114" t="s">
        <v>505</v>
      </c>
      <c r="G26" s="114"/>
      <c r="H26" s="111">
        <v>169277745</v>
      </c>
      <c r="I26" s="286">
        <v>47.698528043490093</v>
      </c>
      <c r="J26" s="107"/>
      <c r="K26" s="108"/>
      <c r="L26" s="108"/>
      <c r="M26" s="108" t="s">
        <v>544</v>
      </c>
      <c r="N26" s="108"/>
      <c r="O26" s="109"/>
      <c r="P26" s="109"/>
      <c r="Q26" s="112" t="s">
        <v>559</v>
      </c>
      <c r="R26" s="114"/>
      <c r="S26" s="114"/>
      <c r="T26" s="434">
        <v>-1160983</v>
      </c>
      <c r="U26" s="398">
        <v>-0.32713798369369385</v>
      </c>
    </row>
    <row r="27" spans="1:21" ht="14.25">
      <c r="A27" s="297"/>
      <c r="B27" s="108"/>
      <c r="C27" s="323"/>
      <c r="D27" s="323" t="s">
        <v>44</v>
      </c>
      <c r="E27" s="324"/>
      <c r="F27" s="114" t="s">
        <v>506</v>
      </c>
      <c r="G27" s="114"/>
      <c r="H27" s="111">
        <v>169277745</v>
      </c>
      <c r="I27" s="286">
        <v>47.698528043490093</v>
      </c>
      <c r="J27" s="107"/>
      <c r="K27" s="108"/>
      <c r="L27" s="108"/>
      <c r="M27" s="108" t="s">
        <v>545</v>
      </c>
      <c r="N27" s="108"/>
      <c r="O27" s="109"/>
      <c r="P27" s="109"/>
      <c r="Q27" s="112" t="s">
        <v>560</v>
      </c>
      <c r="R27" s="114"/>
      <c r="S27" s="114"/>
      <c r="T27" s="434">
        <v>2586362</v>
      </c>
      <c r="U27" s="398">
        <v>0.72877660549895174</v>
      </c>
    </row>
    <row r="28" spans="1:21" ht="14.25">
      <c r="A28" s="297"/>
      <c r="B28" s="108"/>
      <c r="C28" s="323" t="s">
        <v>45</v>
      </c>
      <c r="D28" s="323"/>
      <c r="E28" s="324"/>
      <c r="F28" s="114" t="s">
        <v>507</v>
      </c>
      <c r="G28" s="114"/>
      <c r="H28" s="111">
        <v>13595527</v>
      </c>
      <c r="I28" s="286">
        <v>3.8309030278937541</v>
      </c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4">
        <v>0</v>
      </c>
      <c r="U28" s="398">
        <v>0</v>
      </c>
    </row>
    <row r="29" spans="1:21" ht="14.25">
      <c r="A29" s="297"/>
      <c r="B29" s="108"/>
      <c r="C29" s="108"/>
      <c r="D29" s="108" t="s">
        <v>45</v>
      </c>
      <c r="E29" s="109"/>
      <c r="F29" s="114" t="s">
        <v>508</v>
      </c>
      <c r="G29" s="114"/>
      <c r="H29" s="111">
        <v>25927286</v>
      </c>
      <c r="I29" s="286">
        <v>7.3057056517535024</v>
      </c>
      <c r="J29" s="107" t="s">
        <v>532</v>
      </c>
      <c r="K29" s="108"/>
      <c r="L29" s="108"/>
      <c r="M29" s="108"/>
      <c r="N29" s="108"/>
      <c r="O29" s="109"/>
      <c r="P29" s="109"/>
      <c r="Q29" s="112"/>
      <c r="R29" s="114"/>
      <c r="S29" s="114"/>
      <c r="T29" s="434">
        <v>354890920</v>
      </c>
      <c r="U29" s="398">
        <v>0</v>
      </c>
    </row>
    <row r="30" spans="1:21" ht="14.25">
      <c r="A30" s="297"/>
      <c r="B30" s="108"/>
      <c r="C30" s="108"/>
      <c r="D30" s="108" t="s">
        <v>509</v>
      </c>
      <c r="E30" s="109"/>
      <c r="F30" s="114" t="s">
        <v>510</v>
      </c>
      <c r="G30" s="114"/>
      <c r="H30" s="111">
        <v>-12331759</v>
      </c>
      <c r="I30" s="286">
        <v>-3.4748026238597487</v>
      </c>
      <c r="J30" s="107"/>
      <c r="K30" s="108"/>
      <c r="L30" s="108"/>
      <c r="M30" s="108"/>
      <c r="N30" s="108"/>
      <c r="O30" s="109"/>
      <c r="P30" s="109"/>
      <c r="Q30" s="112"/>
      <c r="R30" s="114"/>
      <c r="S30" s="114"/>
      <c r="T30" s="434">
        <f>[1]Sheet1!T35</f>
        <v>0</v>
      </c>
      <c r="U30" s="398"/>
    </row>
    <row r="31" spans="1:21" ht="14.25">
      <c r="A31" s="297"/>
      <c r="B31" s="108"/>
      <c r="C31" s="108" t="s">
        <v>511</v>
      </c>
      <c r="D31" s="108"/>
      <c r="E31" s="109"/>
      <c r="F31" s="114" t="s">
        <v>512</v>
      </c>
      <c r="G31" s="114"/>
      <c r="H31" s="111">
        <v>130302844</v>
      </c>
      <c r="I31" s="286">
        <v>36.716308210984941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4"/>
      <c r="U31" s="398"/>
    </row>
    <row r="32" spans="1:21" ht="14.25">
      <c r="A32" s="297"/>
      <c r="B32" s="108"/>
      <c r="C32" s="108"/>
      <c r="D32" s="108" t="s">
        <v>511</v>
      </c>
      <c r="E32" s="109"/>
      <c r="F32" s="114" t="s">
        <v>513</v>
      </c>
      <c r="G32" s="114"/>
      <c r="H32" s="111">
        <v>257098194</v>
      </c>
      <c r="I32" s="286">
        <v>72.444286261254589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4"/>
      <c r="U32" s="398"/>
    </row>
    <row r="33" spans="1:21" ht="14.25">
      <c r="A33" s="297"/>
      <c r="B33" s="108"/>
      <c r="C33" s="108"/>
      <c r="D33" s="108" t="s">
        <v>514</v>
      </c>
      <c r="E33" s="109"/>
      <c r="F33" s="114" t="s">
        <v>515</v>
      </c>
      <c r="G33" s="114"/>
      <c r="H33" s="111">
        <v>-126795350</v>
      </c>
      <c r="I33" s="286">
        <v>-35.727978050269641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4"/>
      <c r="U33" s="398"/>
    </row>
    <row r="34" spans="1:21" ht="14.25">
      <c r="A34" s="297"/>
      <c r="B34" s="108"/>
      <c r="C34" s="108" t="s">
        <v>47</v>
      </c>
      <c r="D34" s="108"/>
      <c r="E34" s="109"/>
      <c r="F34" s="114" t="s">
        <v>516</v>
      </c>
      <c r="G34" s="114"/>
      <c r="H34" s="111">
        <v>5638937</v>
      </c>
      <c r="I34" s="286">
        <v>1.5889211817535371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4"/>
      <c r="U34" s="398"/>
    </row>
    <row r="35" spans="1:21" ht="14.25">
      <c r="A35" s="297"/>
      <c r="B35" s="108"/>
      <c r="C35" s="108"/>
      <c r="D35" s="108" t="s">
        <v>47</v>
      </c>
      <c r="E35" s="109"/>
      <c r="F35" s="114" t="s">
        <v>517</v>
      </c>
      <c r="G35" s="114"/>
      <c r="H35" s="111">
        <v>16696292</v>
      </c>
      <c r="I35" s="286">
        <v>4.7046264243672393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4"/>
      <c r="U35" s="398"/>
    </row>
    <row r="36" spans="1:21" ht="14.25">
      <c r="A36" s="297"/>
      <c r="B36" s="108"/>
      <c r="C36" s="108"/>
      <c r="D36" s="108" t="s">
        <v>518</v>
      </c>
      <c r="E36" s="109"/>
      <c r="F36" s="114" t="s">
        <v>519</v>
      </c>
      <c r="G36" s="114"/>
      <c r="H36" s="111">
        <v>-11057355</v>
      </c>
      <c r="I36" s="286">
        <v>-3.1157052426137022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4"/>
      <c r="U36" s="398"/>
    </row>
    <row r="37" spans="1:21" ht="14.25">
      <c r="A37" s="297"/>
      <c r="B37" s="108"/>
      <c r="C37" s="108" t="s">
        <v>48</v>
      </c>
      <c r="D37" s="108"/>
      <c r="E37" s="109"/>
      <c r="F37" s="114" t="s">
        <v>520</v>
      </c>
      <c r="G37" s="114"/>
      <c r="H37" s="111">
        <v>1177340</v>
      </c>
      <c r="I37" s="286">
        <v>0.33174700553060077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4"/>
      <c r="U37" s="398"/>
    </row>
    <row r="38" spans="1:21" ht="14.25">
      <c r="A38" s="297"/>
      <c r="B38" s="108"/>
      <c r="C38" s="108"/>
      <c r="D38" s="108" t="s">
        <v>48</v>
      </c>
      <c r="E38" s="109"/>
      <c r="F38" s="114" t="s">
        <v>521</v>
      </c>
      <c r="G38" s="114"/>
      <c r="H38" s="111">
        <v>4122797</v>
      </c>
      <c r="I38" s="286">
        <v>1.1617082229097324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4"/>
      <c r="U38" s="398"/>
    </row>
    <row r="39" spans="1:21" ht="14.25">
      <c r="A39" s="297"/>
      <c r="B39" s="108"/>
      <c r="C39" s="108"/>
      <c r="D39" s="108" t="s">
        <v>522</v>
      </c>
      <c r="E39" s="109"/>
      <c r="F39" s="114" t="s">
        <v>523</v>
      </c>
      <c r="G39" s="114"/>
      <c r="H39" s="111">
        <v>-2945457</v>
      </c>
      <c r="I39" s="286">
        <v>-0.82996121737913153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4"/>
      <c r="U39" s="398"/>
    </row>
    <row r="40" spans="1:21" ht="14.25">
      <c r="A40" s="532"/>
      <c r="B40" s="533"/>
      <c r="C40" s="533" t="s">
        <v>198</v>
      </c>
      <c r="D40" s="533"/>
      <c r="E40" s="534"/>
      <c r="F40" s="535" t="s">
        <v>524</v>
      </c>
      <c r="G40" s="535"/>
      <c r="H40" s="536">
        <v>15683073</v>
      </c>
      <c r="I40" s="537">
        <v>4.4191248961793672</v>
      </c>
      <c r="J40" s="118"/>
      <c r="K40" s="533"/>
      <c r="L40" s="533"/>
      <c r="M40" s="533"/>
      <c r="N40" s="533"/>
      <c r="O40" s="534"/>
      <c r="P40" s="534"/>
      <c r="Q40" s="538"/>
      <c r="R40" s="535"/>
      <c r="S40" s="535"/>
      <c r="T40" s="539"/>
      <c r="U40" s="540"/>
    </row>
    <row r="41" spans="1:21" ht="14.25">
      <c r="A41" s="101"/>
      <c r="B41" s="102"/>
      <c r="C41" s="102"/>
      <c r="D41" s="102" t="s">
        <v>198</v>
      </c>
      <c r="E41" s="103"/>
      <c r="F41" s="104" t="s">
        <v>525</v>
      </c>
      <c r="G41" s="104"/>
      <c r="H41" s="105">
        <v>40288920</v>
      </c>
      <c r="I41" s="285">
        <v>11.352479798581491</v>
      </c>
      <c r="J41" s="367"/>
      <c r="K41" s="102"/>
      <c r="L41" s="102"/>
      <c r="M41" s="102"/>
      <c r="N41" s="102"/>
      <c r="O41" s="103"/>
      <c r="P41" s="103"/>
      <c r="Q41" s="106"/>
      <c r="R41" s="104"/>
      <c r="S41" s="104"/>
      <c r="T41" s="541"/>
      <c r="U41" s="397"/>
    </row>
    <row r="42" spans="1:21" ht="14.25">
      <c r="A42" s="297"/>
      <c r="B42" s="108"/>
      <c r="C42" s="108"/>
      <c r="D42" s="108" t="s">
        <v>526</v>
      </c>
      <c r="E42" s="109"/>
      <c r="F42" s="114" t="s">
        <v>527</v>
      </c>
      <c r="G42" s="114"/>
      <c r="H42" s="111">
        <v>-24605847</v>
      </c>
      <c r="I42" s="286">
        <v>-6.9333549024021242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4"/>
      <c r="U42" s="398"/>
    </row>
    <row r="43" spans="1:21" ht="14.25">
      <c r="A43" s="297"/>
      <c r="B43" s="108" t="s">
        <v>528</v>
      </c>
      <c r="C43" s="108"/>
      <c r="D43" s="108"/>
      <c r="E43" s="109"/>
      <c r="F43" s="114" t="s">
        <v>529</v>
      </c>
      <c r="G43" s="114"/>
      <c r="H43" s="111">
        <v>270252</v>
      </c>
      <c r="I43" s="286">
        <v>7.6150722593860673E-2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4"/>
      <c r="U43" s="398"/>
    </row>
    <row r="44" spans="1:21" ht="14.25">
      <c r="A44" s="297"/>
      <c r="B44" s="108"/>
      <c r="C44" s="108" t="s">
        <v>528</v>
      </c>
      <c r="D44" s="108"/>
      <c r="E44" s="109"/>
      <c r="F44" s="114" t="s">
        <v>530</v>
      </c>
      <c r="G44" s="114"/>
      <c r="H44" s="111">
        <v>270252</v>
      </c>
      <c r="I44" s="286">
        <v>7.6150722593860673E-2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4"/>
      <c r="U44" s="398"/>
    </row>
    <row r="45" spans="1:21" ht="14.25">
      <c r="A45" s="297"/>
      <c r="B45" s="108"/>
      <c r="C45" s="108"/>
      <c r="D45" s="108" t="s">
        <v>440</v>
      </c>
      <c r="E45" s="109"/>
      <c r="F45" s="114" t="s">
        <v>531</v>
      </c>
      <c r="G45" s="114"/>
      <c r="H45" s="111">
        <v>270252</v>
      </c>
      <c r="I45" s="286">
        <v>7.6150722593860673E-2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4"/>
      <c r="U45" s="398"/>
    </row>
    <row r="46" spans="1:21" ht="14.25">
      <c r="A46" s="297" t="s">
        <v>532</v>
      </c>
      <c r="B46" s="108"/>
      <c r="C46" s="108"/>
      <c r="D46" s="108"/>
      <c r="E46" s="109"/>
      <c r="F46" s="114"/>
      <c r="G46" s="114"/>
      <c r="H46" s="111">
        <v>354890920</v>
      </c>
      <c r="I46" s="286"/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4"/>
      <c r="U46" s="398"/>
    </row>
    <row r="47" spans="1:21" ht="11.65" customHeight="1">
      <c r="A47" s="107"/>
      <c r="B47" s="115"/>
      <c r="C47" s="115"/>
      <c r="D47" s="115"/>
      <c r="E47" s="116"/>
      <c r="F47" s="110"/>
      <c r="G47" s="110"/>
      <c r="H47" s="111"/>
      <c r="I47" s="287"/>
      <c r="J47" s="107"/>
      <c r="K47" s="115"/>
      <c r="L47" s="115"/>
      <c r="M47" s="115"/>
      <c r="N47" s="115"/>
      <c r="O47" s="116"/>
      <c r="P47" s="116"/>
      <c r="Q47" s="117"/>
      <c r="R47" s="107"/>
      <c r="S47" s="107"/>
      <c r="T47" s="112"/>
      <c r="U47" s="398"/>
    </row>
    <row r="48" spans="1:21" ht="11.65" customHeight="1">
      <c r="A48" s="118"/>
      <c r="B48" s="119"/>
      <c r="C48" s="119"/>
      <c r="D48" s="119"/>
      <c r="E48" s="120"/>
      <c r="F48" s="118"/>
      <c r="G48" s="118"/>
      <c r="H48" s="121"/>
      <c r="I48" s="288"/>
      <c r="J48" s="118"/>
      <c r="K48" s="119"/>
      <c r="L48" s="119"/>
      <c r="M48" s="119"/>
      <c r="N48" s="119"/>
      <c r="O48" s="120"/>
      <c r="P48" s="120"/>
      <c r="Q48" s="121"/>
      <c r="R48" s="118"/>
      <c r="S48" s="118"/>
      <c r="T48" s="121"/>
      <c r="U48" s="288"/>
    </row>
    <row r="49" spans="1:20" ht="14.25" customHeight="1">
      <c r="A49" s="694" t="s">
        <v>314</v>
      </c>
      <c r="B49" s="694"/>
      <c r="C49" s="694"/>
      <c r="D49" s="694"/>
      <c r="E49" s="694"/>
      <c r="F49" s="694"/>
      <c r="G49" s="695">
        <v>0</v>
      </c>
      <c r="H49" s="695"/>
      <c r="L49" s="694" t="s">
        <v>315</v>
      </c>
      <c r="M49" s="694"/>
      <c r="N49" s="694"/>
      <c r="O49" s="694"/>
      <c r="P49" s="694"/>
      <c r="Q49" s="694"/>
      <c r="R49" s="694"/>
      <c r="S49" s="695">
        <v>0</v>
      </c>
      <c r="T49" s="695"/>
    </row>
    <row r="50" spans="1:20" ht="14.25">
      <c r="A50" s="690" t="s">
        <v>8</v>
      </c>
      <c r="B50" s="690"/>
      <c r="D50" s="400" t="s">
        <v>442</v>
      </c>
    </row>
  </sheetData>
  <mergeCells count="19">
    <mergeCell ref="A50:B50"/>
    <mergeCell ref="T9:T11"/>
    <mergeCell ref="U9:U11"/>
    <mergeCell ref="A49:F49"/>
    <mergeCell ref="G49:H49"/>
    <mergeCell ref="L49:R49"/>
    <mergeCell ref="S49:T49"/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23</vt:i4>
      </vt:variant>
      <vt:variant>
        <vt:lpstr>具名範圍</vt:lpstr>
      </vt:variant>
      <vt:variant>
        <vt:i4>19</vt:i4>
      </vt:variant>
    </vt:vector>
  </HeadingPairs>
  <TitlesOfParts>
    <vt:vector size="42" baseType="lpstr">
      <vt:lpstr>封面-移交</vt:lpstr>
      <vt:lpstr>勾稽</vt:lpstr>
      <vt:lpstr>簡簽</vt:lpstr>
      <vt:lpstr>代收款</vt:lpstr>
      <vt:lpstr>預算執行1001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2024-10-01T03:24:58Z</cp:lastPrinted>
  <dcterms:created xsi:type="dcterms:W3CDTF">2016-11-01T23:05:09Z</dcterms:created>
  <dcterms:modified xsi:type="dcterms:W3CDTF">2024-10-07T03:06:59Z</dcterms:modified>
</cp:coreProperties>
</file>